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01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george/Library/Mobile Documents/com~apple~CloudDocs/AFA/timber sale comments/Wramge;;; 10 yr/2015-16/"/>
    </mc:Choice>
  </mc:AlternateContent>
  <bookViews>
    <workbookView xWindow="780" yWindow="480" windowWidth="25600" windowHeight="16060" tabRatio="500" activeTab="1"/>
  </bookViews>
  <sheets>
    <sheet name="Added units" sheetId="1" r:id="rId1"/>
    <sheet name="Draft " sheetId="2" r:id="rId2"/>
  </sheets>
  <definedNames>
    <definedName name="_xlnm.Print_Area" localSheetId="0">'Added units'!$R$1:$AN$28</definedName>
    <definedName name="_xlnm.Print_Area" localSheetId="1">'Draft '!$A$1:$J$53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0" i="2" l="1"/>
  <c r="K30" i="2"/>
  <c r="N30" i="2"/>
  <c r="H43" i="2"/>
  <c r="H42" i="2"/>
  <c r="H47" i="2"/>
  <c r="H46" i="2"/>
  <c r="H38" i="2"/>
  <c r="H37" i="2"/>
  <c r="AH13" i="2"/>
  <c r="AM13" i="2"/>
  <c r="AN13" i="2"/>
  <c r="AA3" i="2"/>
  <c r="H24" i="2"/>
  <c r="AF14" i="2"/>
  <c r="AV14" i="2"/>
  <c r="AV169" i="2"/>
  <c r="AV170" i="2"/>
  <c r="AU13" i="2"/>
  <c r="AU169" i="2"/>
  <c r="AV167" i="2"/>
  <c r="AV166" i="2"/>
  <c r="AV165" i="2"/>
  <c r="AV164" i="2"/>
  <c r="AV163" i="2"/>
  <c r="AV162" i="2"/>
  <c r="AV161" i="2"/>
  <c r="AV160" i="2"/>
  <c r="AV159" i="2"/>
  <c r="AV158" i="2"/>
  <c r="AV157" i="2"/>
  <c r="AV156" i="2"/>
  <c r="AV155" i="2"/>
  <c r="AV154" i="2"/>
  <c r="AV153" i="2"/>
  <c r="AV152" i="2"/>
  <c r="AV151" i="2"/>
  <c r="AV150" i="2"/>
  <c r="AV149" i="2"/>
  <c r="AV148" i="2"/>
  <c r="AV147" i="2"/>
  <c r="AV146" i="2"/>
  <c r="AV145" i="2"/>
  <c r="AV144" i="2"/>
  <c r="AV143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83" i="2"/>
  <c r="AV82" i="2"/>
  <c r="AV81" i="2"/>
  <c r="AV80" i="2"/>
  <c r="AV79" i="2"/>
  <c r="AV78" i="2"/>
  <c r="AV77" i="2"/>
  <c r="AV76" i="2"/>
  <c r="AV75" i="2"/>
  <c r="AV74" i="2"/>
  <c r="AV73" i="2"/>
  <c r="AV72" i="2"/>
  <c r="AV71" i="2"/>
  <c r="AV70" i="2"/>
  <c r="AV69" i="2"/>
  <c r="AV68" i="2"/>
  <c r="AV67" i="2"/>
  <c r="AV66" i="2"/>
  <c r="AV65" i="2"/>
  <c r="AV64" i="2"/>
  <c r="AV63" i="2"/>
  <c r="AV62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3" i="2"/>
  <c r="AV12" i="2"/>
  <c r="AV11" i="2"/>
  <c r="AV10" i="2"/>
  <c r="AM10" i="2"/>
  <c r="AM12" i="2"/>
  <c r="AM11" i="2"/>
  <c r="AB3" i="2"/>
  <c r="AF116" i="2"/>
  <c r="AM116" i="2"/>
  <c r="AH12" i="2"/>
  <c r="AU12" i="2"/>
  <c r="AH11" i="2"/>
  <c r="AU11" i="2"/>
  <c r="AH10" i="2"/>
  <c r="AU10" i="2"/>
  <c r="AF13" i="2"/>
  <c r="AF12" i="2"/>
  <c r="AF11" i="2"/>
  <c r="AF10" i="2"/>
  <c r="AH167" i="2"/>
  <c r="AH166" i="2"/>
  <c r="AH165" i="2"/>
  <c r="AH164" i="2"/>
  <c r="AH163" i="2"/>
  <c r="AH162" i="2"/>
  <c r="AH161" i="2"/>
  <c r="AH160" i="2"/>
  <c r="AH159" i="2"/>
  <c r="AH158" i="2"/>
  <c r="AH157" i="2"/>
  <c r="AH156" i="2"/>
  <c r="AH155" i="2"/>
  <c r="AH154" i="2"/>
  <c r="AH153" i="2"/>
  <c r="AH152" i="2"/>
  <c r="AH151" i="2"/>
  <c r="AH150" i="2"/>
  <c r="AH149" i="2"/>
  <c r="AH148" i="2"/>
  <c r="AH147" i="2"/>
  <c r="AH146" i="2"/>
  <c r="AH145" i="2"/>
  <c r="AH144" i="2"/>
  <c r="AH143" i="2"/>
  <c r="AH142" i="2"/>
  <c r="AH141" i="2"/>
  <c r="AH140" i="2"/>
  <c r="AH139" i="2"/>
  <c r="AH138" i="2"/>
  <c r="AH137" i="2"/>
  <c r="AH136" i="2"/>
  <c r="AH135" i="2"/>
  <c r="AH134" i="2"/>
  <c r="AH133" i="2"/>
  <c r="AH132" i="2"/>
  <c r="AH131" i="2"/>
  <c r="AH130" i="2"/>
  <c r="AH129" i="2"/>
  <c r="AH128" i="2"/>
  <c r="AH127" i="2"/>
  <c r="AH126" i="2"/>
  <c r="AH125" i="2"/>
  <c r="AH124" i="2"/>
  <c r="AH123" i="2"/>
  <c r="AH122" i="2"/>
  <c r="AH121" i="2"/>
  <c r="AH120" i="2"/>
  <c r="AH119" i="2"/>
  <c r="AH118" i="2"/>
  <c r="AH117" i="2"/>
  <c r="AH116" i="2"/>
  <c r="AH115" i="2"/>
  <c r="AH114" i="2"/>
  <c r="AH113" i="2"/>
  <c r="AH112" i="2"/>
  <c r="AH111" i="2"/>
  <c r="AH110" i="2"/>
  <c r="AH109" i="2"/>
  <c r="AH108" i="2"/>
  <c r="AH107" i="2"/>
  <c r="AH106" i="2"/>
  <c r="AH105" i="2"/>
  <c r="AH104" i="2"/>
  <c r="AH103" i="2"/>
  <c r="AH102" i="2"/>
  <c r="AH101" i="2"/>
  <c r="AH100" i="2"/>
  <c r="AH99" i="2"/>
  <c r="AH98" i="2"/>
  <c r="AH97" i="2"/>
  <c r="AH96" i="2"/>
  <c r="AH95" i="2"/>
  <c r="AH94" i="2"/>
  <c r="AH93" i="2"/>
  <c r="AH92" i="2"/>
  <c r="AH91" i="2"/>
  <c r="AH90" i="2"/>
  <c r="AH89" i="2"/>
  <c r="AH88" i="2"/>
  <c r="AH87" i="2"/>
  <c r="AH86" i="2"/>
  <c r="AH85" i="2"/>
  <c r="AH84" i="2"/>
  <c r="AH83" i="2"/>
  <c r="AH82" i="2"/>
  <c r="AH81" i="2"/>
  <c r="AH80" i="2"/>
  <c r="AH79" i="2"/>
  <c r="AH78" i="2"/>
  <c r="AH77" i="2"/>
  <c r="AH76" i="2"/>
  <c r="AH75" i="2"/>
  <c r="AH74" i="2"/>
  <c r="AH73" i="2"/>
  <c r="AH72" i="2"/>
  <c r="AH71" i="2"/>
  <c r="AH70" i="2"/>
  <c r="AH69" i="2"/>
  <c r="AH68" i="2"/>
  <c r="AH67" i="2"/>
  <c r="AH66" i="2"/>
  <c r="AH65" i="2"/>
  <c r="AH64" i="2"/>
  <c r="AH63" i="2"/>
  <c r="AH62" i="2"/>
  <c r="AH61" i="2"/>
  <c r="AH60" i="2"/>
  <c r="AH59" i="2"/>
  <c r="AH58" i="2"/>
  <c r="AH57" i="2"/>
  <c r="AH56" i="2"/>
  <c r="AH55" i="2"/>
  <c r="AH54" i="2"/>
  <c r="AH53" i="2"/>
  <c r="AH52" i="2"/>
  <c r="AH51" i="2"/>
  <c r="AH50" i="2"/>
  <c r="AH49" i="2"/>
  <c r="AH48" i="2"/>
  <c r="AH47" i="2"/>
  <c r="AH46" i="2"/>
  <c r="AH45" i="2"/>
  <c r="AH44" i="2"/>
  <c r="AH43" i="2"/>
  <c r="AH42" i="2"/>
  <c r="AH41" i="2"/>
  <c r="AH40" i="2"/>
  <c r="AH39" i="2"/>
  <c r="AH38" i="2"/>
  <c r="AH37" i="2"/>
  <c r="AH36" i="2"/>
  <c r="AH35" i="2"/>
  <c r="AH34" i="2"/>
  <c r="AH33" i="2"/>
  <c r="AH32" i="2"/>
  <c r="AH31" i="2"/>
  <c r="AH30" i="2"/>
  <c r="AH29" i="2"/>
  <c r="AH28" i="2"/>
  <c r="AH27" i="2"/>
  <c r="AH26" i="2"/>
  <c r="AH25" i="2"/>
  <c r="AH24" i="2"/>
  <c r="AH23" i="2"/>
  <c r="AH22" i="2"/>
  <c r="AH21" i="2"/>
  <c r="AH20" i="2"/>
  <c r="AH19" i="2"/>
  <c r="AH18" i="2"/>
  <c r="AH17" i="2"/>
  <c r="AH16" i="2"/>
  <c r="AH15" i="2"/>
  <c r="AH14" i="2"/>
  <c r="E24" i="2"/>
  <c r="E23" i="2"/>
  <c r="Y7" i="2"/>
  <c r="AE169" i="2"/>
  <c r="E41" i="2"/>
  <c r="F41" i="2"/>
  <c r="AG169" i="2"/>
  <c r="E42" i="2"/>
  <c r="F42" i="2"/>
  <c r="AD169" i="2"/>
  <c r="F28" i="2"/>
  <c r="AB169" i="2"/>
  <c r="E37" i="2"/>
  <c r="E31" i="2"/>
  <c r="F31" i="2"/>
  <c r="W169" i="2"/>
  <c r="E32" i="2"/>
  <c r="F32" i="2"/>
  <c r="X169" i="2"/>
  <c r="E33" i="2"/>
  <c r="F33" i="2"/>
  <c r="Y169" i="2"/>
  <c r="E34" i="2"/>
  <c r="F34" i="2"/>
  <c r="Z169" i="2"/>
  <c r="E35" i="2"/>
  <c r="F35" i="2"/>
  <c r="AA169" i="2"/>
  <c r="E36" i="2"/>
  <c r="F36" i="2"/>
  <c r="F37" i="2"/>
  <c r="E38" i="2"/>
  <c r="F38" i="2"/>
  <c r="E39" i="2"/>
  <c r="F39" i="2"/>
  <c r="E40" i="2"/>
  <c r="F40" i="2"/>
  <c r="E45" i="2"/>
  <c r="F45" i="2"/>
  <c r="AJ169" i="2"/>
  <c r="E46" i="2"/>
  <c r="F46" i="2"/>
  <c r="F47" i="2"/>
  <c r="F49" i="2"/>
  <c r="G51" i="2"/>
  <c r="L30" i="2"/>
  <c r="M30" i="2"/>
  <c r="AC169" i="2"/>
  <c r="P30" i="2"/>
  <c r="K31" i="2"/>
  <c r="K33" i="2"/>
  <c r="L31" i="2"/>
  <c r="L33" i="2"/>
  <c r="M31" i="2"/>
  <c r="M32" i="2"/>
  <c r="M33" i="2"/>
  <c r="N31" i="2"/>
  <c r="N33" i="2"/>
  <c r="O31" i="2"/>
  <c r="O33" i="2"/>
  <c r="P32" i="2"/>
  <c r="G52" i="2"/>
  <c r="F51" i="2"/>
  <c r="F52" i="2"/>
  <c r="AF160" i="2"/>
  <c r="AM160" i="2"/>
  <c r="AN160" i="2"/>
  <c r="AO160" i="2"/>
  <c r="AQ160" i="2"/>
  <c r="AN10" i="2"/>
  <c r="AO10" i="2"/>
  <c r="AQ10" i="2"/>
  <c r="AN11" i="2"/>
  <c r="AO11" i="2"/>
  <c r="AQ11" i="2"/>
  <c r="AN12" i="2"/>
  <c r="AO12" i="2"/>
  <c r="AQ12" i="2"/>
  <c r="AO13" i="2"/>
  <c r="AQ13" i="2"/>
  <c r="AM14" i="2"/>
  <c r="AN14" i="2"/>
  <c r="AO14" i="2"/>
  <c r="AQ14" i="2"/>
  <c r="AF15" i="2"/>
  <c r="AM15" i="2"/>
  <c r="AN15" i="2"/>
  <c r="AO15" i="2"/>
  <c r="AQ15" i="2"/>
  <c r="AF16" i="2"/>
  <c r="AM16" i="2"/>
  <c r="AN16" i="2"/>
  <c r="AO16" i="2"/>
  <c r="AQ16" i="2"/>
  <c r="AF17" i="2"/>
  <c r="AM17" i="2"/>
  <c r="AN17" i="2"/>
  <c r="AO17" i="2"/>
  <c r="AQ17" i="2"/>
  <c r="AF18" i="2"/>
  <c r="AM18" i="2"/>
  <c r="AN18" i="2"/>
  <c r="AO18" i="2"/>
  <c r="AQ18" i="2"/>
  <c r="AF19" i="2"/>
  <c r="AM19" i="2"/>
  <c r="AN19" i="2"/>
  <c r="AO19" i="2"/>
  <c r="AQ19" i="2"/>
  <c r="AF20" i="2"/>
  <c r="AM20" i="2"/>
  <c r="AN20" i="2"/>
  <c r="AO20" i="2"/>
  <c r="AQ20" i="2"/>
  <c r="AM21" i="2"/>
  <c r="AN21" i="2"/>
  <c r="AO21" i="2"/>
  <c r="AQ21" i="2"/>
  <c r="AM22" i="2"/>
  <c r="AN22" i="2"/>
  <c r="AO22" i="2"/>
  <c r="AQ22" i="2"/>
  <c r="AM23" i="2"/>
  <c r="AN23" i="2"/>
  <c r="AO23" i="2"/>
  <c r="AQ23" i="2"/>
  <c r="AM24" i="2"/>
  <c r="AN24" i="2"/>
  <c r="AO24" i="2"/>
  <c r="AQ24" i="2"/>
  <c r="AF25" i="2"/>
  <c r="AM25" i="2"/>
  <c r="AN25" i="2"/>
  <c r="AO25" i="2"/>
  <c r="AQ25" i="2"/>
  <c r="AF26" i="2"/>
  <c r="AM26" i="2"/>
  <c r="AN26" i="2"/>
  <c r="AO26" i="2"/>
  <c r="AQ26" i="2"/>
  <c r="AF27" i="2"/>
  <c r="AM27" i="2"/>
  <c r="AN27" i="2"/>
  <c r="AO27" i="2"/>
  <c r="AQ27" i="2"/>
  <c r="AF28" i="2"/>
  <c r="AM28" i="2"/>
  <c r="AN28" i="2"/>
  <c r="AO28" i="2"/>
  <c r="AQ28" i="2"/>
  <c r="AF29" i="2"/>
  <c r="AM29" i="2"/>
  <c r="AN29" i="2"/>
  <c r="AO29" i="2"/>
  <c r="AQ29" i="2"/>
  <c r="AF30" i="2"/>
  <c r="AM30" i="2"/>
  <c r="AN30" i="2"/>
  <c r="AO30" i="2"/>
  <c r="AQ30" i="2"/>
  <c r="AF31" i="2"/>
  <c r="AM31" i="2"/>
  <c r="AO31" i="2"/>
  <c r="AQ31" i="2"/>
  <c r="AF32" i="2"/>
  <c r="AM32" i="2"/>
  <c r="AN32" i="2"/>
  <c r="AO32" i="2"/>
  <c r="AQ32" i="2"/>
  <c r="AF33" i="2"/>
  <c r="AM33" i="2"/>
  <c r="AN33" i="2"/>
  <c r="AO33" i="2"/>
  <c r="AQ33" i="2"/>
  <c r="AF34" i="2"/>
  <c r="AM34" i="2"/>
  <c r="AN34" i="2"/>
  <c r="AO34" i="2"/>
  <c r="AQ34" i="2"/>
  <c r="AF35" i="2"/>
  <c r="AK35" i="2"/>
  <c r="AM35" i="2"/>
  <c r="AO35" i="2"/>
  <c r="AQ35" i="2"/>
  <c r="AF36" i="2"/>
  <c r="AM36" i="2"/>
  <c r="AN36" i="2"/>
  <c r="AO36" i="2"/>
  <c r="AQ36" i="2"/>
  <c r="AF37" i="2"/>
  <c r="AM37" i="2"/>
  <c r="AN37" i="2"/>
  <c r="AO37" i="2"/>
  <c r="AQ37" i="2"/>
  <c r="AF38" i="2"/>
  <c r="AM38" i="2"/>
  <c r="AN38" i="2"/>
  <c r="AO38" i="2"/>
  <c r="AQ38" i="2"/>
  <c r="AF39" i="2"/>
  <c r="AM39" i="2"/>
  <c r="AN39" i="2"/>
  <c r="AO39" i="2"/>
  <c r="AQ39" i="2"/>
  <c r="AF40" i="2"/>
  <c r="AM40" i="2"/>
  <c r="AN40" i="2"/>
  <c r="AO40" i="2"/>
  <c r="AQ40" i="2"/>
  <c r="AF41" i="2"/>
  <c r="AM41" i="2"/>
  <c r="AN41" i="2"/>
  <c r="AO41" i="2"/>
  <c r="AQ41" i="2"/>
  <c r="AF42" i="2"/>
  <c r="AM42" i="2"/>
  <c r="AN42" i="2"/>
  <c r="AO42" i="2"/>
  <c r="AQ42" i="2"/>
  <c r="AF43" i="2"/>
  <c r="AM43" i="2"/>
  <c r="AO43" i="2"/>
  <c r="AQ43" i="2"/>
  <c r="AF44" i="2"/>
  <c r="AM44" i="2"/>
  <c r="AN44" i="2"/>
  <c r="AO44" i="2"/>
  <c r="AQ44" i="2"/>
  <c r="AF45" i="2"/>
  <c r="AM45" i="2"/>
  <c r="AN45" i="2"/>
  <c r="AO45" i="2"/>
  <c r="AQ45" i="2"/>
  <c r="AF46" i="2"/>
  <c r="AM46" i="2"/>
  <c r="AN46" i="2"/>
  <c r="AO46" i="2"/>
  <c r="AQ46" i="2"/>
  <c r="AF47" i="2"/>
  <c r="AM47" i="2"/>
  <c r="AN47" i="2"/>
  <c r="AO47" i="2"/>
  <c r="AQ47" i="2"/>
  <c r="AF48" i="2"/>
  <c r="AM48" i="2"/>
  <c r="AN48" i="2"/>
  <c r="AO48" i="2"/>
  <c r="AQ48" i="2"/>
  <c r="AF49" i="2"/>
  <c r="AM49" i="2"/>
  <c r="AO49" i="2"/>
  <c r="AQ49" i="2"/>
  <c r="AF50" i="2"/>
  <c r="AM50" i="2"/>
  <c r="AO50" i="2"/>
  <c r="AQ50" i="2"/>
  <c r="AF51" i="2"/>
  <c r="AM51" i="2"/>
  <c r="AN51" i="2"/>
  <c r="AO51" i="2"/>
  <c r="AQ51" i="2"/>
  <c r="AF52" i="2"/>
  <c r="AM52" i="2"/>
  <c r="AN52" i="2"/>
  <c r="AO52" i="2"/>
  <c r="AQ52" i="2"/>
  <c r="AF53" i="2"/>
  <c r="AM53" i="2"/>
  <c r="AN53" i="2"/>
  <c r="AO53" i="2"/>
  <c r="AQ53" i="2"/>
  <c r="AF54" i="2"/>
  <c r="AM54" i="2"/>
  <c r="AN54" i="2"/>
  <c r="AO54" i="2"/>
  <c r="AQ54" i="2"/>
  <c r="AF55" i="2"/>
  <c r="AM55" i="2"/>
  <c r="AN55" i="2"/>
  <c r="AO55" i="2"/>
  <c r="AQ55" i="2"/>
  <c r="AF56" i="2"/>
  <c r="AM56" i="2"/>
  <c r="AN56" i="2"/>
  <c r="AO56" i="2"/>
  <c r="AQ56" i="2"/>
  <c r="AF57" i="2"/>
  <c r="AM57" i="2"/>
  <c r="AN57" i="2"/>
  <c r="AO57" i="2"/>
  <c r="AQ57" i="2"/>
  <c r="AF58" i="2"/>
  <c r="AM58" i="2"/>
  <c r="AN58" i="2"/>
  <c r="AO58" i="2"/>
  <c r="AQ58" i="2"/>
  <c r="AF59" i="2"/>
  <c r="AM59" i="2"/>
  <c r="AN59" i="2"/>
  <c r="AO59" i="2"/>
  <c r="AQ59" i="2"/>
  <c r="AF60" i="2"/>
  <c r="AM60" i="2"/>
  <c r="AO60" i="2"/>
  <c r="AQ60" i="2"/>
  <c r="AF61" i="2"/>
  <c r="AM61" i="2"/>
  <c r="AO61" i="2"/>
  <c r="AQ61" i="2"/>
  <c r="AF62" i="2"/>
  <c r="AM62" i="2"/>
  <c r="AO62" i="2"/>
  <c r="AQ62" i="2"/>
  <c r="AF63" i="2"/>
  <c r="AK63" i="2"/>
  <c r="AM63" i="2"/>
  <c r="AN63" i="2"/>
  <c r="AO63" i="2"/>
  <c r="AQ63" i="2"/>
  <c r="AF64" i="2"/>
  <c r="AM64" i="2"/>
  <c r="AO64" i="2"/>
  <c r="AQ64" i="2"/>
  <c r="AF65" i="2"/>
  <c r="AM65" i="2"/>
  <c r="AO65" i="2"/>
  <c r="AQ65" i="2"/>
  <c r="AF66" i="2"/>
  <c r="AK66" i="2"/>
  <c r="AM66" i="2"/>
  <c r="AO66" i="2"/>
  <c r="AQ66" i="2"/>
  <c r="AF67" i="2"/>
  <c r="AM67" i="2"/>
  <c r="AO67" i="2"/>
  <c r="AQ67" i="2"/>
  <c r="AF68" i="2"/>
  <c r="AM68" i="2"/>
  <c r="AN68" i="2"/>
  <c r="AO68" i="2"/>
  <c r="AQ68" i="2"/>
  <c r="AF69" i="2"/>
  <c r="AM69" i="2"/>
  <c r="AO69" i="2"/>
  <c r="AQ69" i="2"/>
  <c r="AF70" i="2"/>
  <c r="AK70" i="2"/>
  <c r="AM70" i="2"/>
  <c r="AO70" i="2"/>
  <c r="AQ70" i="2"/>
  <c r="AF71" i="2"/>
  <c r="AM71" i="2"/>
  <c r="AN71" i="2"/>
  <c r="AO71" i="2"/>
  <c r="AQ71" i="2"/>
  <c r="AF72" i="2"/>
  <c r="AM72" i="2"/>
  <c r="AN72" i="2"/>
  <c r="AO72" i="2"/>
  <c r="AQ72" i="2"/>
  <c r="AF73" i="2"/>
  <c r="AM73" i="2"/>
  <c r="AN73" i="2"/>
  <c r="AO73" i="2"/>
  <c r="AQ73" i="2"/>
  <c r="AF74" i="2"/>
  <c r="AM74" i="2"/>
  <c r="AN74" i="2"/>
  <c r="AO74" i="2"/>
  <c r="AQ74" i="2"/>
  <c r="AF75" i="2"/>
  <c r="AM75" i="2"/>
  <c r="AN75" i="2"/>
  <c r="AO75" i="2"/>
  <c r="AQ75" i="2"/>
  <c r="AF76" i="2"/>
  <c r="AM76" i="2"/>
  <c r="AN76" i="2"/>
  <c r="AO76" i="2"/>
  <c r="AQ76" i="2"/>
  <c r="AF77" i="2"/>
  <c r="AM77" i="2"/>
  <c r="AO77" i="2"/>
  <c r="AQ77" i="2"/>
  <c r="AF78" i="2"/>
  <c r="AM78" i="2"/>
  <c r="AN78" i="2"/>
  <c r="AO78" i="2"/>
  <c r="AQ78" i="2"/>
  <c r="AF79" i="2"/>
  <c r="AM79" i="2"/>
  <c r="AN79" i="2"/>
  <c r="AO79" i="2"/>
  <c r="AQ79" i="2"/>
  <c r="AF80" i="2"/>
  <c r="AM80" i="2"/>
  <c r="AN80" i="2"/>
  <c r="AO80" i="2"/>
  <c r="AQ80" i="2"/>
  <c r="AF81" i="2"/>
  <c r="AM81" i="2"/>
  <c r="AN81" i="2"/>
  <c r="AO81" i="2"/>
  <c r="AQ81" i="2"/>
  <c r="AF82" i="2"/>
  <c r="AM82" i="2"/>
  <c r="AN82" i="2"/>
  <c r="AO82" i="2"/>
  <c r="AQ82" i="2"/>
  <c r="AF83" i="2"/>
  <c r="AM83" i="2"/>
  <c r="AN83" i="2"/>
  <c r="AO83" i="2"/>
  <c r="AQ83" i="2"/>
  <c r="AF84" i="2"/>
  <c r="AM84" i="2"/>
  <c r="AN84" i="2"/>
  <c r="AO84" i="2"/>
  <c r="AQ84" i="2"/>
  <c r="AF85" i="2"/>
  <c r="AM85" i="2"/>
  <c r="AO85" i="2"/>
  <c r="AQ85" i="2"/>
  <c r="AF86" i="2"/>
  <c r="AM86" i="2"/>
  <c r="AO86" i="2"/>
  <c r="AQ86" i="2"/>
  <c r="AF87" i="2"/>
  <c r="AM87" i="2"/>
  <c r="AO87" i="2"/>
  <c r="AQ87" i="2"/>
  <c r="AF88" i="2"/>
  <c r="AM88" i="2"/>
  <c r="AO88" i="2"/>
  <c r="AQ88" i="2"/>
  <c r="AF89" i="2"/>
  <c r="AM89" i="2"/>
  <c r="AO89" i="2"/>
  <c r="AQ89" i="2"/>
  <c r="AF90" i="2"/>
  <c r="AM90" i="2"/>
  <c r="AN90" i="2"/>
  <c r="AO90" i="2"/>
  <c r="AQ90" i="2"/>
  <c r="AF91" i="2"/>
  <c r="AM91" i="2"/>
  <c r="AO91" i="2"/>
  <c r="AQ91" i="2"/>
  <c r="AF92" i="2"/>
  <c r="AM92" i="2"/>
  <c r="AO92" i="2"/>
  <c r="AQ92" i="2"/>
  <c r="AF93" i="2"/>
  <c r="AM93" i="2"/>
  <c r="AN93" i="2"/>
  <c r="AO93" i="2"/>
  <c r="AQ93" i="2"/>
  <c r="AF94" i="2"/>
  <c r="AM94" i="2"/>
  <c r="AN94" i="2"/>
  <c r="AO94" i="2"/>
  <c r="AQ94" i="2"/>
  <c r="AF95" i="2"/>
  <c r="AM95" i="2"/>
  <c r="AN95" i="2"/>
  <c r="AO95" i="2"/>
  <c r="AQ95" i="2"/>
  <c r="AF96" i="2"/>
  <c r="AM96" i="2"/>
  <c r="AN96" i="2"/>
  <c r="AO96" i="2"/>
  <c r="AQ96" i="2"/>
  <c r="AF97" i="2"/>
  <c r="AM97" i="2"/>
  <c r="AN97" i="2"/>
  <c r="AO97" i="2"/>
  <c r="AQ97" i="2"/>
  <c r="AF98" i="2"/>
  <c r="AM98" i="2"/>
  <c r="AO98" i="2"/>
  <c r="AQ98" i="2"/>
  <c r="AF99" i="2"/>
  <c r="AM99" i="2"/>
  <c r="AN99" i="2"/>
  <c r="AO99" i="2"/>
  <c r="AQ99" i="2"/>
  <c r="AF100" i="2"/>
  <c r="AM100" i="2"/>
  <c r="AO100" i="2"/>
  <c r="AQ100" i="2"/>
  <c r="AF101" i="2"/>
  <c r="AK101" i="2"/>
  <c r="AM101" i="2"/>
  <c r="AN101" i="2"/>
  <c r="AO101" i="2"/>
  <c r="AQ101" i="2"/>
  <c r="AF102" i="2"/>
  <c r="AM102" i="2"/>
  <c r="AO102" i="2"/>
  <c r="AQ102" i="2"/>
  <c r="AF103" i="2"/>
  <c r="AM103" i="2"/>
  <c r="AN103" i="2"/>
  <c r="AO103" i="2"/>
  <c r="AQ103" i="2"/>
  <c r="AF104" i="2"/>
  <c r="AM104" i="2"/>
  <c r="AO104" i="2"/>
  <c r="AQ104" i="2"/>
  <c r="AF105" i="2"/>
  <c r="AM105" i="2"/>
  <c r="AN105" i="2"/>
  <c r="AO105" i="2"/>
  <c r="AQ105" i="2"/>
  <c r="AF106" i="2"/>
  <c r="AM106" i="2"/>
  <c r="AN106" i="2"/>
  <c r="AO106" i="2"/>
  <c r="AQ106" i="2"/>
  <c r="AF107" i="2"/>
  <c r="AM107" i="2"/>
  <c r="AO107" i="2"/>
  <c r="AQ107" i="2"/>
  <c r="AF108" i="2"/>
  <c r="AK108" i="2"/>
  <c r="AM108" i="2"/>
  <c r="AN108" i="2"/>
  <c r="AO108" i="2"/>
  <c r="AQ108" i="2"/>
  <c r="AF109" i="2"/>
  <c r="AM109" i="2"/>
  <c r="AN109" i="2"/>
  <c r="AO109" i="2"/>
  <c r="AQ109" i="2"/>
  <c r="AF110" i="2"/>
  <c r="AM110" i="2"/>
  <c r="AO110" i="2"/>
  <c r="AQ110" i="2"/>
  <c r="AF111" i="2"/>
  <c r="AM111" i="2"/>
  <c r="AO111" i="2"/>
  <c r="AQ111" i="2"/>
  <c r="AF112" i="2"/>
  <c r="AM112" i="2"/>
  <c r="AN112" i="2"/>
  <c r="AO112" i="2"/>
  <c r="AQ112" i="2"/>
  <c r="AF113" i="2"/>
  <c r="AM113" i="2"/>
  <c r="AN113" i="2"/>
  <c r="AO113" i="2"/>
  <c r="AQ113" i="2"/>
  <c r="AF114" i="2"/>
  <c r="AM114" i="2"/>
  <c r="AO114" i="2"/>
  <c r="AQ114" i="2"/>
  <c r="AF115" i="2"/>
  <c r="AM115" i="2"/>
  <c r="AO115" i="2"/>
  <c r="AQ115" i="2"/>
  <c r="AO116" i="2"/>
  <c r="AQ116" i="2"/>
  <c r="AF117" i="2"/>
  <c r="AM117" i="2"/>
  <c r="AO117" i="2"/>
  <c r="AQ117" i="2"/>
  <c r="AF118" i="2"/>
  <c r="AM118" i="2"/>
  <c r="AO118" i="2"/>
  <c r="AQ118" i="2"/>
  <c r="AF119" i="2"/>
  <c r="AM119" i="2"/>
  <c r="AN119" i="2"/>
  <c r="AO119" i="2"/>
  <c r="AQ119" i="2"/>
  <c r="AF120" i="2"/>
  <c r="AM120" i="2"/>
  <c r="AO120" i="2"/>
  <c r="AQ120" i="2"/>
  <c r="AF121" i="2"/>
  <c r="AM121" i="2"/>
  <c r="AO121" i="2"/>
  <c r="AQ121" i="2"/>
  <c r="AF122" i="2"/>
  <c r="AM122" i="2"/>
  <c r="AN122" i="2"/>
  <c r="AO122" i="2"/>
  <c r="AQ122" i="2"/>
  <c r="AF123" i="2"/>
  <c r="AM123" i="2"/>
  <c r="AO123" i="2"/>
  <c r="AQ123" i="2"/>
  <c r="AF124" i="2"/>
  <c r="AM124" i="2"/>
  <c r="AN124" i="2"/>
  <c r="AO124" i="2"/>
  <c r="AQ124" i="2"/>
  <c r="AF125" i="2"/>
  <c r="AM125" i="2"/>
  <c r="AO125" i="2"/>
  <c r="AQ125" i="2"/>
  <c r="AF126" i="2"/>
  <c r="AM126" i="2"/>
  <c r="AN126" i="2"/>
  <c r="AO126" i="2"/>
  <c r="AQ126" i="2"/>
  <c r="AF127" i="2"/>
  <c r="AM127" i="2"/>
  <c r="AN127" i="2"/>
  <c r="AO127" i="2"/>
  <c r="AQ127" i="2"/>
  <c r="AF128" i="2"/>
  <c r="AM128" i="2"/>
  <c r="AO128" i="2"/>
  <c r="AQ128" i="2"/>
  <c r="AF129" i="2"/>
  <c r="AM129" i="2"/>
  <c r="AO129" i="2"/>
  <c r="AQ129" i="2"/>
  <c r="AF130" i="2"/>
  <c r="AM130" i="2"/>
  <c r="AN130" i="2"/>
  <c r="AO130" i="2"/>
  <c r="AQ130" i="2"/>
  <c r="AF131" i="2"/>
  <c r="AM131" i="2"/>
  <c r="AN131" i="2"/>
  <c r="AO131" i="2"/>
  <c r="AQ131" i="2"/>
  <c r="AF132" i="2"/>
  <c r="AM132" i="2"/>
  <c r="AN132" i="2"/>
  <c r="AO132" i="2"/>
  <c r="AQ132" i="2"/>
  <c r="AF133" i="2"/>
  <c r="AM133" i="2"/>
  <c r="AN133" i="2"/>
  <c r="AO133" i="2"/>
  <c r="AQ133" i="2"/>
  <c r="AF134" i="2"/>
  <c r="AM134" i="2"/>
  <c r="AN134" i="2"/>
  <c r="AO134" i="2"/>
  <c r="AQ134" i="2"/>
  <c r="AF135" i="2"/>
  <c r="AM135" i="2"/>
  <c r="AO135" i="2"/>
  <c r="AQ135" i="2"/>
  <c r="AF136" i="2"/>
  <c r="AM136" i="2"/>
  <c r="AN136" i="2"/>
  <c r="AO136" i="2"/>
  <c r="AQ136" i="2"/>
  <c r="AF137" i="2"/>
  <c r="AM137" i="2"/>
  <c r="AN137" i="2"/>
  <c r="AO137" i="2"/>
  <c r="AQ137" i="2"/>
  <c r="AF138" i="2"/>
  <c r="AM138" i="2"/>
  <c r="AN138" i="2"/>
  <c r="AO138" i="2"/>
  <c r="AQ138" i="2"/>
  <c r="AF139" i="2"/>
  <c r="AM139" i="2"/>
  <c r="AN139" i="2"/>
  <c r="AO139" i="2"/>
  <c r="AQ139" i="2"/>
  <c r="AF140" i="2"/>
  <c r="AM140" i="2"/>
  <c r="AN140" i="2"/>
  <c r="AO140" i="2"/>
  <c r="AQ140" i="2"/>
  <c r="AM141" i="2"/>
  <c r="AN141" i="2"/>
  <c r="AO141" i="2"/>
  <c r="AQ141" i="2"/>
  <c r="AM142" i="2"/>
  <c r="AN142" i="2"/>
  <c r="AO142" i="2"/>
  <c r="AQ142" i="2"/>
  <c r="AF143" i="2"/>
  <c r="AM143" i="2"/>
  <c r="AO143" i="2"/>
  <c r="AQ143" i="2"/>
  <c r="AM144" i="2"/>
  <c r="AN144" i="2"/>
  <c r="AO144" i="2"/>
  <c r="AQ144" i="2"/>
  <c r="AM145" i="2"/>
  <c r="AN145" i="2"/>
  <c r="AO145" i="2"/>
  <c r="AQ145" i="2"/>
  <c r="AM146" i="2"/>
  <c r="AN146" i="2"/>
  <c r="AO146" i="2"/>
  <c r="AQ146" i="2"/>
  <c r="AF147" i="2"/>
  <c r="AM147" i="2"/>
  <c r="AO147" i="2"/>
  <c r="AQ147" i="2"/>
  <c r="AF148" i="2"/>
  <c r="AM148" i="2"/>
  <c r="AN148" i="2"/>
  <c r="AO148" i="2"/>
  <c r="AQ148" i="2"/>
  <c r="AF149" i="2"/>
  <c r="AM149" i="2"/>
  <c r="AN149" i="2"/>
  <c r="AO149" i="2"/>
  <c r="AQ149" i="2"/>
  <c r="AF150" i="2"/>
  <c r="AM150" i="2"/>
  <c r="AN150" i="2"/>
  <c r="AO150" i="2"/>
  <c r="AQ150" i="2"/>
  <c r="AF151" i="2"/>
  <c r="AM151" i="2"/>
  <c r="AN151" i="2"/>
  <c r="AO151" i="2"/>
  <c r="AQ151" i="2"/>
  <c r="AF152" i="2"/>
  <c r="AM152" i="2"/>
  <c r="AN152" i="2"/>
  <c r="AO152" i="2"/>
  <c r="AQ152" i="2"/>
  <c r="AF153" i="2"/>
  <c r="AM153" i="2"/>
  <c r="AN153" i="2"/>
  <c r="AO153" i="2"/>
  <c r="AQ153" i="2"/>
  <c r="AF154" i="2"/>
  <c r="AM154" i="2"/>
  <c r="AN154" i="2"/>
  <c r="AO154" i="2"/>
  <c r="AQ154" i="2"/>
  <c r="AF155" i="2"/>
  <c r="AM155" i="2"/>
  <c r="AN155" i="2"/>
  <c r="AO155" i="2"/>
  <c r="AQ155" i="2"/>
  <c r="AF156" i="2"/>
  <c r="AM156" i="2"/>
  <c r="AN156" i="2"/>
  <c r="AO156" i="2"/>
  <c r="AQ156" i="2"/>
  <c r="AF157" i="2"/>
  <c r="AM157" i="2"/>
  <c r="AN157" i="2"/>
  <c r="AO157" i="2"/>
  <c r="AQ157" i="2"/>
  <c r="AF158" i="2"/>
  <c r="AM158" i="2"/>
  <c r="AN158" i="2"/>
  <c r="AO158" i="2"/>
  <c r="AQ158" i="2"/>
  <c r="AF159" i="2"/>
  <c r="AM159" i="2"/>
  <c r="AN159" i="2"/>
  <c r="AO159" i="2"/>
  <c r="AQ159" i="2"/>
  <c r="AF161" i="2"/>
  <c r="AM161" i="2"/>
  <c r="AN161" i="2"/>
  <c r="AO161" i="2"/>
  <c r="AQ161" i="2"/>
  <c r="AF162" i="2"/>
  <c r="AM162" i="2"/>
  <c r="AN162" i="2"/>
  <c r="AO162" i="2"/>
  <c r="AQ162" i="2"/>
  <c r="AF163" i="2"/>
  <c r="AM163" i="2"/>
  <c r="AN163" i="2"/>
  <c r="AO163" i="2"/>
  <c r="AQ163" i="2"/>
  <c r="AF164" i="2"/>
  <c r="AM164" i="2"/>
  <c r="AN164" i="2"/>
  <c r="AO164" i="2"/>
  <c r="AQ164" i="2"/>
  <c r="AF165" i="2"/>
  <c r="AM165" i="2"/>
  <c r="AN165" i="2"/>
  <c r="AO165" i="2"/>
  <c r="AQ165" i="2"/>
  <c r="AF166" i="2"/>
  <c r="AM166" i="2"/>
  <c r="AN166" i="2"/>
  <c r="AO166" i="2"/>
  <c r="AQ166" i="2"/>
  <c r="AF167" i="2"/>
  <c r="AM167" i="2"/>
  <c r="AN167" i="2"/>
  <c r="AO167" i="2"/>
  <c r="AQ167" i="2"/>
  <c r="AQ169" i="2"/>
  <c r="AQ170" i="2"/>
  <c r="AN147" i="2"/>
  <c r="AN143" i="2"/>
  <c r="AD143" i="2"/>
  <c r="AK143" i="2"/>
  <c r="AN135" i="2"/>
  <c r="AN129" i="2"/>
  <c r="AN128" i="2"/>
  <c r="AN125" i="2"/>
  <c r="AN123" i="2"/>
  <c r="AN121" i="2"/>
  <c r="AN120" i="2"/>
  <c r="AN118" i="2"/>
  <c r="AN117" i="2"/>
  <c r="AN114" i="2"/>
  <c r="AN116" i="2"/>
  <c r="AN115" i="2"/>
  <c r="AN102" i="2"/>
  <c r="AN100" i="2"/>
  <c r="AN98" i="2"/>
  <c r="AN104" i="2"/>
  <c r="AN92" i="2"/>
  <c r="AN91" i="2"/>
  <c r="AN111" i="2"/>
  <c r="AN110" i="2"/>
  <c r="AN107" i="2"/>
  <c r="AN89" i="2"/>
  <c r="AN88" i="2"/>
  <c r="AN87" i="2"/>
  <c r="AN86" i="2"/>
  <c r="AN85" i="2"/>
  <c r="AN77" i="2"/>
  <c r="AT74" i="2"/>
  <c r="AT77" i="2"/>
  <c r="AT76" i="2"/>
  <c r="AT85" i="2"/>
  <c r="AT86" i="2"/>
  <c r="AT87" i="2"/>
  <c r="AT88" i="2"/>
  <c r="AT89" i="2"/>
  <c r="AT107" i="2"/>
  <c r="AT109" i="2"/>
  <c r="AT110" i="2"/>
  <c r="AT90" i="2"/>
  <c r="AT91" i="2"/>
  <c r="AT92" i="2"/>
  <c r="AT104" i="2"/>
  <c r="AT98" i="2"/>
  <c r="AT100" i="2"/>
  <c r="AT101" i="2"/>
  <c r="AT102" i="2"/>
  <c r="AT115" i="2"/>
  <c r="AT116" i="2"/>
  <c r="AT113" i="2"/>
  <c r="AT114" i="2"/>
  <c r="AT117" i="2"/>
  <c r="AT111" i="2"/>
  <c r="AT118" i="2"/>
  <c r="AT120" i="2"/>
  <c r="AT121" i="2"/>
  <c r="AT123" i="2"/>
  <c r="AT125" i="2"/>
  <c r="AT127" i="2"/>
  <c r="AT128" i="2"/>
  <c r="AT129" i="2"/>
  <c r="AT131" i="2"/>
  <c r="AT132" i="2"/>
  <c r="AT133" i="2"/>
  <c r="AT134" i="2"/>
  <c r="AT135" i="2"/>
  <c r="AT136" i="2"/>
  <c r="AT137" i="2"/>
  <c r="AT140" i="2"/>
  <c r="AT142" i="2"/>
  <c r="AT143" i="2"/>
  <c r="AT145" i="2"/>
  <c r="AT147" i="2"/>
  <c r="AT156" i="2"/>
  <c r="AT157" i="2"/>
  <c r="AT159" i="2"/>
  <c r="AT160" i="2"/>
  <c r="AT66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7" i="2"/>
  <c r="AT68" i="2"/>
  <c r="AT69" i="2"/>
  <c r="AT70" i="2"/>
  <c r="AT71" i="2"/>
  <c r="AT72" i="2"/>
  <c r="AT73" i="2"/>
  <c r="AT75" i="2"/>
  <c r="AT78" i="2"/>
  <c r="AT79" i="2"/>
  <c r="AT80" i="2"/>
  <c r="AT81" i="2"/>
  <c r="AT82" i="2"/>
  <c r="AT83" i="2"/>
  <c r="AT84" i="2"/>
  <c r="AT93" i="2"/>
  <c r="AT94" i="2"/>
  <c r="AT95" i="2"/>
  <c r="AT96" i="2"/>
  <c r="AT97" i="2"/>
  <c r="AT99" i="2"/>
  <c r="AT103" i="2"/>
  <c r="AT105" i="2"/>
  <c r="AT106" i="2"/>
  <c r="AT108" i="2"/>
  <c r="AT112" i="2"/>
  <c r="AT119" i="2"/>
  <c r="AT122" i="2"/>
  <c r="AT124" i="2"/>
  <c r="AT126" i="2"/>
  <c r="AT130" i="2"/>
  <c r="AT138" i="2"/>
  <c r="AT139" i="2"/>
  <c r="AT141" i="2"/>
  <c r="AT144" i="2"/>
  <c r="AT146" i="2"/>
  <c r="AT148" i="2"/>
  <c r="AT149" i="2"/>
  <c r="AT150" i="2"/>
  <c r="AT151" i="2"/>
  <c r="AT152" i="2"/>
  <c r="AT153" i="2"/>
  <c r="AT154" i="2"/>
  <c r="AT155" i="2"/>
  <c r="AT158" i="2"/>
  <c r="AT161" i="2"/>
  <c r="AT162" i="2"/>
  <c r="AT163" i="2"/>
  <c r="AT164" i="2"/>
  <c r="AT165" i="2"/>
  <c r="AT166" i="2"/>
  <c r="AT167" i="2"/>
  <c r="AT169" i="2"/>
  <c r="AN67" i="2"/>
  <c r="AN66" i="2"/>
  <c r="AN69" i="2"/>
  <c r="AN70" i="2"/>
  <c r="AN60" i="2"/>
  <c r="AN61" i="2"/>
  <c r="AN62" i="2"/>
  <c r="AN65" i="2"/>
  <c r="AN64" i="2"/>
  <c r="AN43" i="2"/>
  <c r="AN50" i="2"/>
  <c r="AN49" i="2"/>
  <c r="AN35" i="2"/>
  <c r="AN31" i="2"/>
  <c r="AP29" i="2"/>
  <c r="X3" i="2"/>
  <c r="Y3" i="2"/>
  <c r="W3" i="2"/>
  <c r="Z3" i="2"/>
  <c r="K22" i="2"/>
  <c r="K20" i="2"/>
  <c r="K19" i="2"/>
  <c r="K18" i="2"/>
  <c r="K17" i="2"/>
  <c r="K16" i="2"/>
  <c r="K15" i="2"/>
  <c r="K14" i="2"/>
  <c r="J22" i="2"/>
  <c r="Q24" i="2"/>
  <c r="D185" i="2"/>
  <c r="C14" i="2"/>
  <c r="D14" i="2"/>
  <c r="D186" i="2"/>
  <c r="C15" i="2"/>
  <c r="D15" i="2"/>
  <c r="D187" i="2"/>
  <c r="C16" i="2"/>
  <c r="D16" i="2"/>
  <c r="D189" i="2"/>
  <c r="C18" i="2"/>
  <c r="D18" i="2"/>
  <c r="D191" i="2"/>
  <c r="C20" i="2"/>
  <c r="D20" i="2"/>
  <c r="D188" i="2"/>
  <c r="C17" i="2"/>
  <c r="D17" i="2"/>
  <c r="D190" i="2"/>
  <c r="C19" i="2"/>
  <c r="D19" i="2"/>
  <c r="C22" i="2"/>
  <c r="F14" i="2"/>
  <c r="G14" i="2"/>
  <c r="F15" i="2"/>
  <c r="G15" i="2"/>
  <c r="F16" i="2"/>
  <c r="G16" i="2"/>
  <c r="F18" i="2"/>
  <c r="G18" i="2"/>
  <c r="F20" i="2"/>
  <c r="G20" i="2"/>
  <c r="F17" i="2"/>
  <c r="G17" i="2"/>
  <c r="F19" i="2"/>
  <c r="G19" i="2"/>
  <c r="C24" i="2"/>
  <c r="C26" i="2"/>
  <c r="K32" i="2"/>
  <c r="U31" i="2"/>
  <c r="W31" i="2"/>
  <c r="W50" i="2"/>
  <c r="W51" i="2"/>
  <c r="W52" i="2"/>
  <c r="W59" i="2"/>
  <c r="W66" i="2"/>
  <c r="W68" i="2"/>
  <c r="W71" i="2"/>
  <c r="W86" i="2"/>
  <c r="W102" i="2"/>
  <c r="W110" i="2"/>
  <c r="W135" i="2"/>
  <c r="W136" i="2"/>
  <c r="W142" i="2"/>
  <c r="AB15" i="2"/>
  <c r="U18" i="2"/>
  <c r="AB18" i="2"/>
  <c r="AB19" i="2"/>
  <c r="AB20" i="2"/>
  <c r="AB21" i="2"/>
  <c r="AB22" i="2"/>
  <c r="AB23" i="2"/>
  <c r="AB24" i="2"/>
  <c r="U27" i="2"/>
  <c r="AB27" i="2"/>
  <c r="AB28" i="2"/>
  <c r="AB29" i="2"/>
  <c r="AB34" i="2"/>
  <c r="U36" i="2"/>
  <c r="AB36" i="2"/>
  <c r="AB38" i="2"/>
  <c r="AB39" i="2"/>
  <c r="AB40" i="2"/>
  <c r="AB41" i="2"/>
  <c r="AB42" i="2"/>
  <c r="U44" i="2"/>
  <c r="AB44" i="2"/>
  <c r="AB45" i="2"/>
  <c r="AB46" i="2"/>
  <c r="AB47" i="2"/>
  <c r="AB48" i="2"/>
  <c r="AB52" i="2"/>
  <c r="AB53" i="2"/>
  <c r="AB54" i="2"/>
  <c r="AB55" i="2"/>
  <c r="AB56" i="2"/>
  <c r="AB78" i="2"/>
  <c r="AB80" i="2"/>
  <c r="AB83" i="2"/>
  <c r="AB95" i="2"/>
  <c r="AB96" i="2"/>
  <c r="AB99" i="2"/>
  <c r="AB112" i="2"/>
  <c r="AB113" i="2"/>
  <c r="AB122" i="2"/>
  <c r="AB124" i="2"/>
  <c r="AB126" i="2"/>
  <c r="AB130" i="2"/>
  <c r="AB131" i="2"/>
  <c r="AB132" i="2"/>
  <c r="AB133" i="2"/>
  <c r="AB134" i="2"/>
  <c r="AB136" i="2"/>
  <c r="AB137" i="2"/>
  <c r="AB138" i="2"/>
  <c r="AB140" i="2"/>
  <c r="AB142" i="2"/>
  <c r="AB146" i="2"/>
  <c r="AB150" i="2"/>
  <c r="AB151" i="2"/>
  <c r="AB156" i="2"/>
  <c r="AB157" i="2"/>
  <c r="AB158" i="2"/>
  <c r="AB160" i="2"/>
  <c r="AB162" i="2"/>
  <c r="AB164" i="2"/>
  <c r="AB165" i="2"/>
  <c r="AB166" i="2"/>
  <c r="Z35" i="2"/>
  <c r="Z49" i="2"/>
  <c r="Z70" i="2"/>
  <c r="Z71" i="2"/>
  <c r="Z76" i="2"/>
  <c r="Z91" i="2"/>
  <c r="Z98" i="2"/>
  <c r="Z102" i="2"/>
  <c r="Z109" i="2"/>
  <c r="Z110" i="2"/>
  <c r="Z114" i="2"/>
  <c r="Z116" i="2"/>
  <c r="AA68" i="2"/>
  <c r="N32" i="2"/>
  <c r="O32" i="2"/>
  <c r="P34" i="2"/>
  <c r="C47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82" i="2"/>
  <c r="AD83" i="2"/>
  <c r="AD84" i="2"/>
  <c r="AD85" i="2"/>
  <c r="AD86" i="2"/>
  <c r="AD87" i="2"/>
  <c r="AD88" i="2"/>
  <c r="AD89" i="2"/>
  <c r="AD90" i="2"/>
  <c r="AD91" i="2"/>
  <c r="AD92" i="2"/>
  <c r="AD93" i="2"/>
  <c r="AD94" i="2"/>
  <c r="AD95" i="2"/>
  <c r="AD96" i="2"/>
  <c r="AD97" i="2"/>
  <c r="AD98" i="2"/>
  <c r="AD99" i="2"/>
  <c r="AD100" i="2"/>
  <c r="AD101" i="2"/>
  <c r="AD102" i="2"/>
  <c r="AD103" i="2"/>
  <c r="AD104" i="2"/>
  <c r="AD105" i="2"/>
  <c r="AD106" i="2"/>
  <c r="AD107" i="2"/>
  <c r="AD108" i="2"/>
  <c r="AD109" i="2"/>
  <c r="AD110" i="2"/>
  <c r="AD111" i="2"/>
  <c r="AD112" i="2"/>
  <c r="AD113" i="2"/>
  <c r="AD114" i="2"/>
  <c r="AD115" i="2"/>
  <c r="AD116" i="2"/>
  <c r="AD117" i="2"/>
  <c r="AD118" i="2"/>
  <c r="AD119" i="2"/>
  <c r="AD120" i="2"/>
  <c r="AD121" i="2"/>
  <c r="AD122" i="2"/>
  <c r="AD123" i="2"/>
  <c r="AD124" i="2"/>
  <c r="AD125" i="2"/>
  <c r="AD126" i="2"/>
  <c r="AD127" i="2"/>
  <c r="AD128" i="2"/>
  <c r="AD129" i="2"/>
  <c r="AD130" i="2"/>
  <c r="AD131" i="2"/>
  <c r="AD132" i="2"/>
  <c r="AD133" i="2"/>
  <c r="AD134" i="2"/>
  <c r="AD135" i="2"/>
  <c r="AD136" i="2"/>
  <c r="AD137" i="2"/>
  <c r="AD138" i="2"/>
  <c r="AD139" i="2"/>
  <c r="AD140" i="2"/>
  <c r="AD141" i="2"/>
  <c r="AD142" i="2"/>
  <c r="AD144" i="2"/>
  <c r="AD145" i="2"/>
  <c r="AD146" i="2"/>
  <c r="AD147" i="2"/>
  <c r="AD148" i="2"/>
  <c r="AD149" i="2"/>
  <c r="AD150" i="2"/>
  <c r="AD151" i="2"/>
  <c r="AD152" i="2"/>
  <c r="AD153" i="2"/>
  <c r="AD154" i="2"/>
  <c r="AD155" i="2"/>
  <c r="AD156" i="2"/>
  <c r="AD157" i="2"/>
  <c r="AD158" i="2"/>
  <c r="AD159" i="2"/>
  <c r="AD160" i="2"/>
  <c r="AD161" i="2"/>
  <c r="AD162" i="2"/>
  <c r="AD163" i="2"/>
  <c r="AD164" i="2"/>
  <c r="AD165" i="2"/>
  <c r="AD166" i="2"/>
  <c r="AD167" i="2"/>
  <c r="C207" i="2"/>
  <c r="C31" i="2"/>
  <c r="C208" i="2"/>
  <c r="C32" i="2"/>
  <c r="C209" i="2"/>
  <c r="C33" i="2"/>
  <c r="C210" i="2"/>
  <c r="C34" i="2"/>
  <c r="C211" i="2"/>
  <c r="C35" i="2"/>
  <c r="C212" i="2"/>
  <c r="C36" i="2"/>
  <c r="C37" i="2"/>
  <c r="C214" i="2"/>
  <c r="C38" i="2"/>
  <c r="C215" i="2"/>
  <c r="C39" i="2"/>
  <c r="F43" i="2"/>
  <c r="F44" i="2"/>
  <c r="C216" i="2"/>
  <c r="C45" i="2"/>
  <c r="P35" i="2"/>
  <c r="G53" i="2"/>
  <c r="AB7" i="2"/>
  <c r="AK128" i="2"/>
  <c r="AK155" i="2"/>
  <c r="AK154" i="2"/>
  <c r="AK153" i="2"/>
  <c r="AC3" i="2"/>
  <c r="AP155" i="2"/>
  <c r="AP154" i="2"/>
  <c r="AP153" i="2"/>
  <c r="AP128" i="2"/>
  <c r="AA7" i="2"/>
  <c r="AK10" i="2"/>
  <c r="AK13" i="2"/>
  <c r="W7" i="2"/>
  <c r="AK25" i="2"/>
  <c r="AK26" i="2"/>
  <c r="AK30" i="2"/>
  <c r="AK32" i="2"/>
  <c r="AK33" i="2"/>
  <c r="Z7" i="2"/>
  <c r="AK43" i="2"/>
  <c r="AK46" i="2"/>
  <c r="AK51" i="2"/>
  <c r="AK52" i="2"/>
  <c r="AK54" i="2"/>
  <c r="AK55" i="2"/>
  <c r="AK56" i="2"/>
  <c r="AK58" i="2"/>
  <c r="AK61" i="2"/>
  <c r="AK93" i="2"/>
  <c r="AE170" i="2"/>
  <c r="AU15" i="2"/>
  <c r="AU16" i="2"/>
  <c r="AU19" i="2"/>
  <c r="AU21" i="2"/>
  <c r="AU22" i="2"/>
  <c r="AU23" i="2"/>
  <c r="AU24" i="2"/>
  <c r="AU25" i="2"/>
  <c r="AU27" i="2"/>
  <c r="AU29" i="2"/>
  <c r="AU30" i="2"/>
  <c r="AU31" i="2"/>
  <c r="AU32" i="2"/>
  <c r="AU33" i="2"/>
  <c r="AU34" i="2"/>
  <c r="AU35" i="2"/>
  <c r="AU36" i="2"/>
  <c r="AU37" i="2"/>
  <c r="AU38" i="2"/>
  <c r="AU40" i="2"/>
  <c r="AU41" i="2"/>
  <c r="AU42" i="2"/>
  <c r="AU43" i="2"/>
  <c r="AU44" i="2"/>
  <c r="AU45" i="2"/>
  <c r="AU46" i="2"/>
  <c r="AU47" i="2"/>
  <c r="AU48" i="2"/>
  <c r="AU50" i="2"/>
  <c r="AU51" i="2"/>
  <c r="AU53" i="2"/>
  <c r="AU54" i="2"/>
  <c r="AU55" i="2"/>
  <c r="AU56" i="2"/>
  <c r="AU57" i="2"/>
  <c r="AU58" i="2"/>
  <c r="AU59" i="2"/>
  <c r="AU60" i="2"/>
  <c r="AU61" i="2"/>
  <c r="AU63" i="2"/>
  <c r="AU65" i="2"/>
  <c r="AU66" i="2"/>
  <c r="AU67" i="2"/>
  <c r="AU68" i="2"/>
  <c r="AU69" i="2"/>
  <c r="AU70" i="2"/>
  <c r="AU71" i="2"/>
  <c r="AU72" i="2"/>
  <c r="AU74" i="2"/>
  <c r="AU75" i="2"/>
  <c r="AU77" i="2"/>
  <c r="AU78" i="2"/>
  <c r="AU82" i="2"/>
  <c r="AU83" i="2"/>
  <c r="AU84" i="2"/>
  <c r="AU85" i="2"/>
  <c r="AU86" i="2"/>
  <c r="AU88" i="2"/>
  <c r="AU89" i="2"/>
  <c r="AU90" i="2"/>
  <c r="AU92" i="2"/>
  <c r="AU94" i="2"/>
  <c r="AU95" i="2"/>
  <c r="AU100" i="2"/>
  <c r="AU102" i="2"/>
  <c r="AU105" i="2"/>
  <c r="AU106" i="2"/>
  <c r="AU110" i="2"/>
  <c r="AU111" i="2"/>
  <c r="AU112" i="2"/>
  <c r="AU113" i="2"/>
  <c r="AU114" i="2"/>
  <c r="AU115" i="2"/>
  <c r="AU116" i="2"/>
  <c r="AU117" i="2"/>
  <c r="AU118" i="2"/>
  <c r="AU119" i="2"/>
  <c r="AU120" i="2"/>
  <c r="AU121" i="2"/>
  <c r="AU122" i="2"/>
  <c r="AU123" i="2"/>
  <c r="AU124" i="2"/>
  <c r="AU125" i="2"/>
  <c r="AU126" i="2"/>
  <c r="AU127" i="2"/>
  <c r="AU129" i="2"/>
  <c r="AU130" i="2"/>
  <c r="AU131" i="2"/>
  <c r="AU132" i="2"/>
  <c r="AU133" i="2"/>
  <c r="AU134" i="2"/>
  <c r="AU135" i="2"/>
  <c r="AU136" i="2"/>
  <c r="AU137" i="2"/>
  <c r="AU138" i="2"/>
  <c r="AU139" i="2"/>
  <c r="AU140" i="2"/>
  <c r="AU141" i="2"/>
  <c r="AU142" i="2"/>
  <c r="AU143" i="2"/>
  <c r="AU144" i="2"/>
  <c r="AU145" i="2"/>
  <c r="AU146" i="2"/>
  <c r="AU147" i="2"/>
  <c r="AU148" i="2"/>
  <c r="AU149" i="2"/>
  <c r="AU150" i="2"/>
  <c r="AU151" i="2"/>
  <c r="AU152" i="2"/>
  <c r="AU153" i="2"/>
  <c r="AU156" i="2"/>
  <c r="AU157" i="2"/>
  <c r="AU170" i="2"/>
  <c r="AK11" i="2"/>
  <c r="AK12" i="2"/>
  <c r="AK14" i="2"/>
  <c r="AK15" i="2"/>
  <c r="AK16" i="2"/>
  <c r="AK17" i="2"/>
  <c r="AK18" i="2"/>
  <c r="AK19" i="2"/>
  <c r="AK20" i="2"/>
  <c r="AF21" i="2"/>
  <c r="AK21" i="2"/>
  <c r="AF22" i="2"/>
  <c r="AK22" i="2"/>
  <c r="AF23" i="2"/>
  <c r="AK23" i="2"/>
  <c r="AF24" i="2"/>
  <c r="AK24" i="2"/>
  <c r="AK27" i="2"/>
  <c r="AK28" i="2"/>
  <c r="AK29" i="2"/>
  <c r="AK31" i="2"/>
  <c r="AK34" i="2"/>
  <c r="AK36" i="2"/>
  <c r="AK37" i="2"/>
  <c r="AK38" i="2"/>
  <c r="AK39" i="2"/>
  <c r="AK40" i="2"/>
  <c r="AK41" i="2"/>
  <c r="AK42" i="2"/>
  <c r="AK44" i="2"/>
  <c r="AK45" i="2"/>
  <c r="AK47" i="2"/>
  <c r="AK48" i="2"/>
  <c r="AK49" i="2"/>
  <c r="AK50" i="2"/>
  <c r="AK53" i="2"/>
  <c r="AK57" i="2"/>
  <c r="AK59" i="2"/>
  <c r="AK60" i="2"/>
  <c r="AK62" i="2"/>
  <c r="AK64" i="2"/>
  <c r="AK65" i="2"/>
  <c r="AK67" i="2"/>
  <c r="AK68" i="2"/>
  <c r="AK69" i="2"/>
  <c r="AK71" i="2"/>
  <c r="AK72" i="2"/>
  <c r="AK73" i="2"/>
  <c r="AK74" i="2"/>
  <c r="AK75" i="2"/>
  <c r="AK76" i="2"/>
  <c r="AK77" i="2"/>
  <c r="AK78" i="2"/>
  <c r="AK79" i="2"/>
  <c r="AK80" i="2"/>
  <c r="AK81" i="2"/>
  <c r="AK82" i="2"/>
  <c r="AK83" i="2"/>
  <c r="AK84" i="2"/>
  <c r="AK85" i="2"/>
  <c r="AK86" i="2"/>
  <c r="AK87" i="2"/>
  <c r="AK88" i="2"/>
  <c r="AK89" i="2"/>
  <c r="AK90" i="2"/>
  <c r="AK91" i="2"/>
  <c r="AK92" i="2"/>
  <c r="AK94" i="2"/>
  <c r="AK95" i="2"/>
  <c r="AK96" i="2"/>
  <c r="AK97" i="2"/>
  <c r="AK98" i="2"/>
  <c r="AK99" i="2"/>
  <c r="AK100" i="2"/>
  <c r="AK102" i="2"/>
  <c r="AK103" i="2"/>
  <c r="AK104" i="2"/>
  <c r="AK105" i="2"/>
  <c r="AK106" i="2"/>
  <c r="AK107" i="2"/>
  <c r="AK109" i="2"/>
  <c r="AK110" i="2"/>
  <c r="AK111" i="2"/>
  <c r="AK112" i="2"/>
  <c r="AK113" i="2"/>
  <c r="AK114" i="2"/>
  <c r="AK115" i="2"/>
  <c r="AK116" i="2"/>
  <c r="AK117" i="2"/>
  <c r="AK118" i="2"/>
  <c r="AK119" i="2"/>
  <c r="AK120" i="2"/>
  <c r="AK121" i="2"/>
  <c r="AK122" i="2"/>
  <c r="AK123" i="2"/>
  <c r="AK124" i="2"/>
  <c r="AK125" i="2"/>
  <c r="AK126" i="2"/>
  <c r="AK127" i="2"/>
  <c r="AK129" i="2"/>
  <c r="AK130" i="2"/>
  <c r="AK131" i="2"/>
  <c r="AK132" i="2"/>
  <c r="AK133" i="2"/>
  <c r="AK134" i="2"/>
  <c r="AK135" i="2"/>
  <c r="AK136" i="2"/>
  <c r="AK137" i="2"/>
  <c r="AK138" i="2"/>
  <c r="AK139" i="2"/>
  <c r="AK140" i="2"/>
  <c r="AF141" i="2"/>
  <c r="AK141" i="2"/>
  <c r="AF142" i="2"/>
  <c r="AK142" i="2"/>
  <c r="AF144" i="2"/>
  <c r="AK144" i="2"/>
  <c r="AF145" i="2"/>
  <c r="AK145" i="2"/>
  <c r="AF146" i="2"/>
  <c r="AK146" i="2"/>
  <c r="AK147" i="2"/>
  <c r="AK148" i="2"/>
  <c r="AK149" i="2"/>
  <c r="AK150" i="2"/>
  <c r="AK151" i="2"/>
  <c r="AK152" i="2"/>
  <c r="AK156" i="2"/>
  <c r="AK157" i="2"/>
  <c r="AK158" i="2"/>
  <c r="AT170" i="2"/>
  <c r="V128" i="2"/>
  <c r="V155" i="2"/>
  <c r="V154" i="2"/>
  <c r="V153" i="2"/>
  <c r="T164" i="2"/>
  <c r="T160" i="2"/>
  <c r="T158" i="2"/>
  <c r="T157" i="2"/>
  <c r="T156" i="2"/>
  <c r="T142" i="2"/>
  <c r="T140" i="2"/>
  <c r="T138" i="2"/>
  <c r="T136" i="2"/>
  <c r="T135" i="2"/>
  <c r="T133" i="2"/>
  <c r="T113" i="2"/>
  <c r="T112" i="2"/>
  <c r="T110" i="2"/>
  <c r="T102" i="2"/>
  <c r="T90" i="2"/>
  <c r="T83" i="2"/>
  <c r="T80" i="2"/>
  <c r="T76" i="2"/>
  <c r="T71" i="2"/>
  <c r="T68" i="2"/>
  <c r="T66" i="2"/>
  <c r="T59" i="2"/>
  <c r="U57" i="2"/>
  <c r="T43" i="2"/>
  <c r="U32" i="2"/>
  <c r="U26" i="2"/>
  <c r="U25" i="2"/>
  <c r="U21" i="2"/>
  <c r="U13" i="2"/>
  <c r="AK167" i="2"/>
  <c r="AK166" i="2"/>
  <c r="AK165" i="2"/>
  <c r="AK164" i="2"/>
  <c r="AK163" i="2"/>
  <c r="AK162" i="2"/>
  <c r="AK161" i="2"/>
  <c r="AK160" i="2"/>
  <c r="AK159" i="2"/>
  <c r="AL169" i="2"/>
  <c r="AK169" i="2"/>
  <c r="AH169" i="2"/>
  <c r="U169" i="2"/>
  <c r="T169" i="2"/>
  <c r="V169" i="2"/>
  <c r="AP167" i="2"/>
  <c r="AP166" i="2"/>
  <c r="AP165" i="2"/>
  <c r="AP164" i="2"/>
  <c r="AP163" i="2"/>
  <c r="AP162" i="2"/>
  <c r="AP161" i="2"/>
  <c r="AP160" i="2"/>
  <c r="AP159" i="2"/>
  <c r="AP158" i="2"/>
  <c r="AP157" i="2"/>
  <c r="AP156" i="2"/>
  <c r="AP152" i="2"/>
  <c r="V167" i="2"/>
  <c r="V166" i="2"/>
  <c r="V165" i="2"/>
  <c r="V164" i="2"/>
  <c r="V163" i="2"/>
  <c r="V162" i="2"/>
  <c r="V161" i="2"/>
  <c r="V160" i="2"/>
  <c r="V159" i="2"/>
  <c r="V158" i="2"/>
  <c r="P207" i="2"/>
  <c r="AP62" i="2"/>
  <c r="V62" i="2"/>
  <c r="AC7" i="2"/>
  <c r="AP91" i="2"/>
  <c r="V91" i="2"/>
  <c r="AP151" i="2"/>
  <c r="AP150" i="2"/>
  <c r="AP149" i="2"/>
  <c r="AP148" i="2"/>
  <c r="AP147" i="2"/>
  <c r="AP146" i="2"/>
  <c r="AP145" i="2"/>
  <c r="AP144" i="2"/>
  <c r="AP143" i="2"/>
  <c r="AP142" i="2"/>
  <c r="AP141" i="2"/>
  <c r="V157" i="2"/>
  <c r="V156" i="2"/>
  <c r="V152" i="2"/>
  <c r="V151" i="2"/>
  <c r="V150" i="2"/>
  <c r="V149" i="2"/>
  <c r="V148" i="2"/>
  <c r="V147" i="2"/>
  <c r="V146" i="2"/>
  <c r="V145" i="2"/>
  <c r="V144" i="2"/>
  <c r="V143" i="2"/>
  <c r="V142" i="2"/>
  <c r="V141" i="2"/>
  <c r="AP127" i="2"/>
  <c r="V127" i="2"/>
  <c r="X7" i="2"/>
  <c r="AP140" i="2"/>
  <c r="V140" i="2"/>
  <c r="AP139" i="2"/>
  <c r="V139" i="2"/>
  <c r="AP138" i="2"/>
  <c r="V138" i="2"/>
  <c r="AP137" i="2"/>
  <c r="V137" i="2"/>
  <c r="AP136" i="2"/>
  <c r="V136" i="2"/>
  <c r="AP135" i="2"/>
  <c r="V135" i="2"/>
  <c r="AP133" i="2"/>
  <c r="AP134" i="2"/>
  <c r="V134" i="2"/>
  <c r="V133" i="2"/>
  <c r="AP132" i="2"/>
  <c r="V132" i="2"/>
  <c r="AP131" i="2"/>
  <c r="V131" i="2"/>
  <c r="AP130" i="2"/>
  <c r="V130" i="2"/>
  <c r="AP129" i="2"/>
  <c r="V129" i="2"/>
  <c r="AP126" i="2"/>
  <c r="V126" i="2"/>
  <c r="AP125" i="2"/>
  <c r="V125" i="2"/>
  <c r="AP124" i="2"/>
  <c r="V124" i="2"/>
  <c r="AP123" i="2"/>
  <c r="V123" i="2"/>
  <c r="AP122" i="2"/>
  <c r="V122" i="2"/>
  <c r="AP121" i="2"/>
  <c r="V121" i="2"/>
  <c r="AP120" i="2"/>
  <c r="AP119" i="2"/>
  <c r="V120" i="2"/>
  <c r="AP118" i="2"/>
  <c r="V119" i="2"/>
  <c r="AP117" i="2"/>
  <c r="V118" i="2"/>
  <c r="V117" i="2"/>
  <c r="AP116" i="2"/>
  <c r="V116" i="2"/>
  <c r="AP115" i="2"/>
  <c r="V115" i="2"/>
  <c r="AP114" i="2"/>
  <c r="V114" i="2"/>
  <c r="AP113" i="2"/>
  <c r="V113" i="2"/>
  <c r="AP112" i="2"/>
  <c r="AP111" i="2"/>
  <c r="V112" i="2"/>
  <c r="V111" i="2"/>
  <c r="AP110" i="2"/>
  <c r="V110" i="2"/>
  <c r="AP109" i="2"/>
  <c r="V109" i="2"/>
  <c r="AP108" i="2"/>
  <c r="V108" i="2"/>
  <c r="AP107" i="2"/>
  <c r="V107" i="2"/>
  <c r="AP106" i="2"/>
  <c r="V106" i="2"/>
  <c r="AP105" i="2"/>
  <c r="V105" i="2"/>
  <c r="AP104" i="2"/>
  <c r="V104" i="2"/>
  <c r="AP103" i="2"/>
  <c r="V103" i="2"/>
  <c r="AP102" i="2"/>
  <c r="V102" i="2"/>
  <c r="AP101" i="2"/>
  <c r="V101" i="2"/>
  <c r="AP100" i="2"/>
  <c r="V100" i="2"/>
  <c r="AP99" i="2"/>
  <c r="V99" i="2"/>
  <c r="AP98" i="2"/>
  <c r="V98" i="2"/>
  <c r="AP97" i="2"/>
  <c r="V97" i="2"/>
  <c r="AP96" i="2"/>
  <c r="V96" i="2"/>
  <c r="AP95" i="2"/>
  <c r="V95" i="2"/>
  <c r="AP94" i="2"/>
  <c r="V94" i="2"/>
  <c r="AP93" i="2"/>
  <c r="V93" i="2"/>
  <c r="AP92" i="2"/>
  <c r="V92" i="2"/>
  <c r="AP90" i="2"/>
  <c r="V90" i="2"/>
  <c r="AP89" i="2"/>
  <c r="V89" i="2"/>
  <c r="AP88" i="2"/>
  <c r="V88" i="2"/>
  <c r="AP87" i="2"/>
  <c r="V87" i="2"/>
  <c r="AP86" i="2"/>
  <c r="V86" i="2"/>
  <c r="AP85" i="2"/>
  <c r="V85" i="2"/>
  <c r="AP84" i="2"/>
  <c r="V84" i="2"/>
  <c r="AP83" i="2"/>
  <c r="V83" i="2"/>
  <c r="AP82" i="2"/>
  <c r="V82" i="2"/>
  <c r="AP81" i="2"/>
  <c r="V81" i="2"/>
  <c r="AP80" i="2"/>
  <c r="V80" i="2"/>
  <c r="AP79" i="2"/>
  <c r="V79" i="2"/>
  <c r="AP78" i="2"/>
  <c r="V78" i="2"/>
  <c r="V77" i="2"/>
  <c r="V76" i="2"/>
  <c r="V75" i="2"/>
  <c r="AP74" i="2"/>
  <c r="V74" i="2"/>
  <c r="AP73" i="2"/>
  <c r="V73" i="2"/>
  <c r="AP72" i="2"/>
  <c r="V72" i="2"/>
  <c r="V71" i="2"/>
  <c r="V70" i="2"/>
  <c r="V69" i="2"/>
  <c r="V68" i="2"/>
  <c r="V67" i="2"/>
  <c r="V66" i="2"/>
  <c r="V65" i="2"/>
  <c r="V64" i="2"/>
  <c r="V63" i="2"/>
  <c r="V61" i="2"/>
  <c r="V60" i="2"/>
  <c r="V59" i="2"/>
  <c r="V58" i="2"/>
  <c r="V57" i="2"/>
  <c r="V56" i="2"/>
  <c r="V55" i="2"/>
  <c r="V54" i="2"/>
  <c r="V53" i="2"/>
  <c r="V52" i="2"/>
  <c r="V51" i="2"/>
  <c r="V50" i="2"/>
  <c r="AP50" i="2"/>
  <c r="AP49" i="2"/>
  <c r="V49" i="2"/>
  <c r="AP48" i="2"/>
  <c r="V48" i="2"/>
  <c r="V47" i="2"/>
  <c r="V46" i="2"/>
  <c r="V45" i="2"/>
  <c r="V44" i="2"/>
  <c r="V43" i="2"/>
  <c r="V42" i="2"/>
  <c r="V41" i="2"/>
  <c r="V40" i="2"/>
  <c r="V39" i="2"/>
  <c r="V38" i="2"/>
  <c r="V37" i="2"/>
  <c r="AP47" i="2"/>
  <c r="AP46" i="2"/>
  <c r="AP45" i="2"/>
  <c r="AP44" i="2"/>
  <c r="AP43" i="2"/>
  <c r="AP42" i="2"/>
  <c r="AP41" i="2"/>
  <c r="AP40" i="2"/>
  <c r="AP39" i="2"/>
  <c r="AP38" i="2"/>
  <c r="AP36" i="2"/>
  <c r="V36" i="2"/>
  <c r="V33" i="2"/>
  <c r="V29" i="2"/>
  <c r="V28" i="2"/>
  <c r="AP33" i="2"/>
  <c r="AP30" i="2"/>
  <c r="AP28" i="2"/>
  <c r="AP27" i="2"/>
  <c r="V27" i="2"/>
  <c r="AP26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AP71" i="2"/>
  <c r="AP70" i="2"/>
  <c r="AP69" i="2"/>
  <c r="AP68" i="2"/>
  <c r="AP67" i="2"/>
  <c r="AP66" i="2"/>
  <c r="AP65" i="2"/>
  <c r="AP64" i="2"/>
  <c r="AP63" i="2"/>
  <c r="AP61" i="2"/>
  <c r="AP60" i="2"/>
  <c r="AP59" i="2"/>
  <c r="AP58" i="2"/>
  <c r="AP57" i="2"/>
  <c r="AP56" i="2"/>
  <c r="AP55" i="2"/>
  <c r="AP54" i="2"/>
  <c r="AP53" i="2"/>
  <c r="AP52" i="2"/>
  <c r="AP51" i="2"/>
  <c r="AP37" i="2"/>
  <c r="AP25" i="2"/>
  <c r="AP24" i="2"/>
  <c r="AP23" i="2"/>
  <c r="AP22" i="2"/>
  <c r="AP21" i="2"/>
  <c r="AP20" i="2"/>
  <c r="AP19" i="2"/>
  <c r="AP18" i="2"/>
  <c r="AP17" i="2"/>
  <c r="AP16" i="2"/>
  <c r="AP15" i="2"/>
  <c r="AP14" i="2"/>
  <c r="AP13" i="2"/>
  <c r="AP12" i="2"/>
  <c r="AP11" i="2"/>
  <c r="AP10" i="2"/>
  <c r="Q207" i="2"/>
  <c r="V13" i="2"/>
  <c r="V12" i="2"/>
  <c r="V11" i="2"/>
  <c r="V10" i="2"/>
  <c r="O207" i="2"/>
  <c r="F326" i="2"/>
  <c r="G326" i="2"/>
  <c r="F325" i="2"/>
  <c r="G325" i="2"/>
  <c r="F324" i="2"/>
  <c r="G324" i="2"/>
  <c r="F323" i="2"/>
  <c r="G323" i="2"/>
  <c r="F322" i="2"/>
  <c r="G322" i="2"/>
  <c r="F321" i="2"/>
  <c r="G321" i="2"/>
  <c r="F320" i="2"/>
  <c r="G320" i="2"/>
  <c r="F319" i="2"/>
  <c r="G319" i="2"/>
  <c r="F318" i="2"/>
  <c r="G318" i="2"/>
  <c r="E286" i="2"/>
  <c r="E312" i="2"/>
  <c r="E311" i="2"/>
  <c r="W24" i="1"/>
  <c r="X24" i="1"/>
  <c r="Y24" i="1"/>
  <c r="Z24" i="1"/>
  <c r="AB24" i="1"/>
  <c r="AE24" i="1"/>
  <c r="AH24" i="1"/>
  <c r="C180" i="1"/>
  <c r="C181" i="1"/>
  <c r="C187" i="1"/>
  <c r="C188" i="1"/>
  <c r="C189" i="1"/>
  <c r="Q180" i="1"/>
  <c r="AB7" i="1"/>
  <c r="AI24" i="1"/>
  <c r="AJ24" i="1"/>
  <c r="AM24" i="1"/>
  <c r="W23" i="1"/>
  <c r="X23" i="1"/>
  <c r="Y23" i="1"/>
  <c r="Z23" i="1"/>
  <c r="AB23" i="1"/>
  <c r="AE23" i="1"/>
  <c r="AH23" i="1"/>
  <c r="AI23" i="1"/>
  <c r="AJ23" i="1"/>
  <c r="AM23" i="1"/>
  <c r="W22" i="1"/>
  <c r="X22" i="1"/>
  <c r="Y22" i="1"/>
  <c r="Z22" i="1"/>
  <c r="AB22" i="1"/>
  <c r="AE22" i="1"/>
  <c r="AH22" i="1"/>
  <c r="AI22" i="1"/>
  <c r="AJ22" i="1"/>
  <c r="AM22" i="1"/>
  <c r="W21" i="1"/>
  <c r="X21" i="1"/>
  <c r="Y21" i="1"/>
  <c r="Z21" i="1"/>
  <c r="AB21" i="1"/>
  <c r="AE21" i="1"/>
  <c r="AH21" i="1"/>
  <c r="AI21" i="1"/>
  <c r="AJ21" i="1"/>
  <c r="AM21" i="1"/>
  <c r="W20" i="1"/>
  <c r="X20" i="1"/>
  <c r="Y20" i="1"/>
  <c r="Z20" i="1"/>
  <c r="AB20" i="1"/>
  <c r="AE20" i="1"/>
  <c r="AH20" i="1"/>
  <c r="AI20" i="1"/>
  <c r="AJ20" i="1"/>
  <c r="AM20" i="1"/>
  <c r="W19" i="1"/>
  <c r="X19" i="1"/>
  <c r="Y19" i="1"/>
  <c r="Z19" i="1"/>
  <c r="AB19" i="1"/>
  <c r="AE19" i="1"/>
  <c r="AH19" i="1"/>
  <c r="AI19" i="1"/>
  <c r="AJ19" i="1"/>
  <c r="AM19" i="1"/>
  <c r="AD3" i="1"/>
  <c r="W18" i="1"/>
  <c r="X18" i="1"/>
  <c r="Y18" i="1"/>
  <c r="Z18" i="1"/>
  <c r="AB18" i="1"/>
  <c r="AE18" i="1"/>
  <c r="AH18" i="1"/>
  <c r="P180" i="1"/>
  <c r="AD7" i="1"/>
  <c r="AI18" i="1"/>
  <c r="AJ18" i="1"/>
  <c r="AM18" i="1"/>
  <c r="W17" i="1"/>
  <c r="X17" i="1"/>
  <c r="Y17" i="1"/>
  <c r="Z17" i="1"/>
  <c r="AD17" i="1"/>
  <c r="AE17" i="1"/>
  <c r="AH17" i="1"/>
  <c r="AI17" i="1"/>
  <c r="AJ17" i="1"/>
  <c r="AM17" i="1"/>
  <c r="W16" i="1"/>
  <c r="X16" i="1"/>
  <c r="Y16" i="1"/>
  <c r="Z16" i="1"/>
  <c r="AB16" i="1"/>
  <c r="AE16" i="1"/>
  <c r="AH16" i="1"/>
  <c r="AI16" i="1"/>
  <c r="AJ16" i="1"/>
  <c r="AM16" i="1"/>
  <c r="W15" i="1"/>
  <c r="X15" i="1"/>
  <c r="Y15" i="1"/>
  <c r="Z15" i="1"/>
  <c r="AB15" i="1"/>
  <c r="AE15" i="1"/>
  <c r="AH15" i="1"/>
  <c r="AI15" i="1"/>
  <c r="AJ15" i="1"/>
  <c r="AM15" i="1"/>
  <c r="W14" i="1"/>
  <c r="X14" i="1"/>
  <c r="Y14" i="1"/>
  <c r="Z14" i="1"/>
  <c r="AB14" i="1"/>
  <c r="AE14" i="1"/>
  <c r="AH14" i="1"/>
  <c r="AI14" i="1"/>
  <c r="AJ14" i="1"/>
  <c r="AM14" i="1"/>
  <c r="C45" i="1"/>
  <c r="C184" i="1"/>
  <c r="C35" i="1"/>
  <c r="D158" i="1"/>
  <c r="C14" i="1"/>
  <c r="D14" i="1"/>
  <c r="D159" i="1"/>
  <c r="C15" i="1"/>
  <c r="D15" i="1"/>
  <c r="D160" i="1"/>
  <c r="C16" i="1"/>
  <c r="D16" i="1"/>
  <c r="D161" i="1"/>
  <c r="C17" i="1"/>
  <c r="D17" i="1"/>
  <c r="D162" i="1"/>
  <c r="C18" i="1"/>
  <c r="D18" i="1"/>
  <c r="D163" i="1"/>
  <c r="C19" i="1"/>
  <c r="D19" i="1"/>
  <c r="D164" i="1"/>
  <c r="C20" i="1"/>
  <c r="D20" i="1"/>
  <c r="C22" i="1"/>
  <c r="F52" i="1"/>
  <c r="AE26" i="1"/>
  <c r="AH26" i="1"/>
  <c r="AI26" i="1"/>
  <c r="AJ26" i="1"/>
  <c r="AK26" i="1"/>
  <c r="W25" i="1"/>
  <c r="X25" i="1"/>
  <c r="Y25" i="1"/>
  <c r="Z25" i="1"/>
  <c r="AB25" i="1"/>
  <c r="AE25" i="1"/>
  <c r="AH25" i="1"/>
  <c r="AI25" i="1"/>
  <c r="AJ25" i="1"/>
  <c r="AK25" i="1"/>
  <c r="AK24" i="1"/>
  <c r="AK23" i="1"/>
  <c r="AK22" i="1"/>
  <c r="W12" i="1"/>
  <c r="V12" i="1"/>
  <c r="X12" i="1"/>
  <c r="Y12" i="1"/>
  <c r="Z12" i="1"/>
  <c r="AB12" i="1"/>
  <c r="AE12" i="1"/>
  <c r="AH12" i="1"/>
  <c r="AI12" i="1"/>
  <c r="AJ12" i="1"/>
  <c r="AM12" i="1"/>
  <c r="W13" i="1"/>
  <c r="X13" i="1"/>
  <c r="Y13" i="1"/>
  <c r="Z13" i="1"/>
  <c r="AB13" i="1"/>
  <c r="AE13" i="1"/>
  <c r="AH13" i="1"/>
  <c r="AI13" i="1"/>
  <c r="AJ13" i="1"/>
  <c r="AM13" i="1"/>
  <c r="AM27" i="1"/>
  <c r="AL24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5" i="1"/>
  <c r="AL27" i="1"/>
  <c r="AG27" i="1"/>
  <c r="AF27" i="1"/>
  <c r="AE27" i="1"/>
  <c r="AD27" i="1"/>
  <c r="AC27" i="1"/>
  <c r="AB27" i="1"/>
  <c r="Z27" i="1"/>
  <c r="Y27" i="1"/>
  <c r="X27" i="1"/>
  <c r="W27" i="1"/>
  <c r="V21" i="1"/>
  <c r="V22" i="1"/>
  <c r="V23" i="1"/>
  <c r="V24" i="1"/>
  <c r="V13" i="1"/>
  <c r="V14" i="1"/>
  <c r="V15" i="1"/>
  <c r="V16" i="1"/>
  <c r="V17" i="1"/>
  <c r="V18" i="1"/>
  <c r="V19" i="1"/>
  <c r="V20" i="1"/>
  <c r="V25" i="1"/>
  <c r="V27" i="1"/>
  <c r="U27" i="1"/>
  <c r="T27" i="1"/>
  <c r="S27" i="1"/>
  <c r="AK16" i="1"/>
  <c r="AK15" i="1"/>
  <c r="AK14" i="1"/>
  <c r="AK13" i="1"/>
  <c r="AK12" i="1"/>
  <c r="W11" i="1"/>
  <c r="X11" i="1"/>
  <c r="Y11" i="1"/>
  <c r="Z11" i="1"/>
  <c r="AB11" i="1"/>
  <c r="AE11" i="1"/>
  <c r="AH11" i="1"/>
  <c r="AI11" i="1"/>
  <c r="W10" i="1"/>
  <c r="V10" i="1"/>
  <c r="X10" i="1"/>
  <c r="Y10" i="1"/>
  <c r="Z10" i="1"/>
  <c r="AB10" i="1"/>
  <c r="AE10" i="1"/>
  <c r="AH10" i="1"/>
  <c r="AI10" i="1"/>
  <c r="AJ10" i="1"/>
  <c r="AJ11" i="1"/>
  <c r="AM11" i="1"/>
  <c r="AM10" i="1"/>
  <c r="L180" i="1"/>
  <c r="L181" i="1"/>
  <c r="L182" i="1"/>
  <c r="L183" i="1"/>
  <c r="L184" i="1"/>
  <c r="L185" i="1"/>
  <c r="L186" i="1"/>
  <c r="L187" i="1"/>
  <c r="L188" i="1"/>
  <c r="L189" i="1"/>
  <c r="L193" i="1"/>
  <c r="L158" i="1"/>
  <c r="L159" i="1"/>
  <c r="L160" i="1"/>
  <c r="L161" i="1"/>
  <c r="L162" i="1"/>
  <c r="L163" i="1"/>
  <c r="L164" i="1"/>
  <c r="D165" i="1"/>
  <c r="L165" i="1"/>
  <c r="D166" i="1"/>
  <c r="L166" i="1"/>
  <c r="L168" i="1"/>
  <c r="N191" i="1"/>
  <c r="N193" i="1"/>
  <c r="M158" i="1"/>
  <c r="M159" i="1"/>
  <c r="M160" i="1"/>
  <c r="M161" i="1"/>
  <c r="M162" i="1"/>
  <c r="M163" i="1"/>
  <c r="M164" i="1"/>
  <c r="M165" i="1"/>
  <c r="M166" i="1"/>
  <c r="M168" i="1"/>
  <c r="M191" i="1"/>
  <c r="M193" i="1"/>
  <c r="C185" i="1"/>
  <c r="C183" i="1"/>
  <c r="C182" i="1"/>
  <c r="O180" i="1"/>
  <c r="G158" i="1"/>
  <c r="K158" i="1"/>
  <c r="G159" i="1"/>
  <c r="K159" i="1"/>
  <c r="G160" i="1"/>
  <c r="K160" i="1"/>
  <c r="G161" i="1"/>
  <c r="K161" i="1"/>
  <c r="G162" i="1"/>
  <c r="K162" i="1"/>
  <c r="G163" i="1"/>
  <c r="K163" i="1"/>
  <c r="G164" i="1"/>
  <c r="K164" i="1"/>
  <c r="K168" i="1"/>
  <c r="J168" i="1"/>
  <c r="I168" i="1"/>
  <c r="H158" i="1"/>
  <c r="H159" i="1"/>
  <c r="H160" i="1"/>
  <c r="H161" i="1"/>
  <c r="H162" i="1"/>
  <c r="H163" i="1"/>
  <c r="H164" i="1"/>
  <c r="G165" i="1"/>
  <c r="H165" i="1"/>
  <c r="G166" i="1"/>
  <c r="H166" i="1"/>
  <c r="H168" i="1"/>
  <c r="C147" i="1"/>
  <c r="S140" i="1"/>
  <c r="S119" i="1"/>
  <c r="S95" i="1"/>
  <c r="S76" i="1"/>
  <c r="S49" i="1"/>
  <c r="S35" i="1"/>
  <c r="S143" i="1"/>
  <c r="T140" i="1"/>
  <c r="T119" i="1"/>
  <c r="T95" i="1"/>
  <c r="T76" i="1"/>
  <c r="T49" i="1"/>
  <c r="T35" i="1"/>
  <c r="T143" i="1"/>
  <c r="U140" i="1"/>
  <c r="U119" i="1"/>
  <c r="U95" i="1"/>
  <c r="U76" i="1"/>
  <c r="U49" i="1"/>
  <c r="U35" i="1"/>
  <c r="U143" i="1"/>
  <c r="T145" i="1"/>
  <c r="W121" i="1"/>
  <c r="X121" i="1"/>
  <c r="Y121" i="1"/>
  <c r="Z121" i="1"/>
  <c r="AB121" i="1"/>
  <c r="AE121" i="1"/>
  <c r="W122" i="1"/>
  <c r="X122" i="1"/>
  <c r="Y122" i="1"/>
  <c r="Z122" i="1"/>
  <c r="AD122" i="1"/>
  <c r="AE122" i="1"/>
  <c r="W123" i="1"/>
  <c r="X123" i="1"/>
  <c r="Y123" i="1"/>
  <c r="Z123" i="1"/>
  <c r="AD123" i="1"/>
  <c r="AE123" i="1"/>
  <c r="W124" i="1"/>
  <c r="X124" i="1"/>
  <c r="Y124" i="1"/>
  <c r="Z124" i="1"/>
  <c r="AB124" i="1"/>
  <c r="AE124" i="1"/>
  <c r="W125" i="1"/>
  <c r="X125" i="1"/>
  <c r="Y125" i="1"/>
  <c r="Z125" i="1"/>
  <c r="AB125" i="1"/>
  <c r="AE125" i="1"/>
  <c r="W126" i="1"/>
  <c r="X126" i="1"/>
  <c r="Y126" i="1"/>
  <c r="Z126" i="1"/>
  <c r="AD126" i="1"/>
  <c r="AE126" i="1"/>
  <c r="W127" i="1"/>
  <c r="X127" i="1"/>
  <c r="Y127" i="1"/>
  <c r="Z127" i="1"/>
  <c r="AD127" i="1"/>
  <c r="AE127" i="1"/>
  <c r="W128" i="1"/>
  <c r="X128" i="1"/>
  <c r="Y128" i="1"/>
  <c r="Z128" i="1"/>
  <c r="AD128" i="1"/>
  <c r="AE128" i="1"/>
  <c r="W129" i="1"/>
  <c r="X129" i="1"/>
  <c r="Y129" i="1"/>
  <c r="Z129" i="1"/>
  <c r="AD129" i="1"/>
  <c r="AE129" i="1"/>
  <c r="W130" i="1"/>
  <c r="X130" i="1"/>
  <c r="Y130" i="1"/>
  <c r="Z130" i="1"/>
  <c r="AD130" i="1"/>
  <c r="AE130" i="1"/>
  <c r="W131" i="1"/>
  <c r="X131" i="1"/>
  <c r="Y131" i="1"/>
  <c r="Z131" i="1"/>
  <c r="AB131" i="1"/>
  <c r="AE131" i="1"/>
  <c r="W132" i="1"/>
  <c r="X132" i="1"/>
  <c r="Y132" i="1"/>
  <c r="Z132" i="1"/>
  <c r="AB132" i="1"/>
  <c r="AE132" i="1"/>
  <c r="W133" i="1"/>
  <c r="X133" i="1"/>
  <c r="Y133" i="1"/>
  <c r="Z133" i="1"/>
  <c r="AB133" i="1"/>
  <c r="AE133" i="1"/>
  <c r="W134" i="1"/>
  <c r="X134" i="1"/>
  <c r="Y134" i="1"/>
  <c r="Z134" i="1"/>
  <c r="AB134" i="1"/>
  <c r="AE134" i="1"/>
  <c r="W135" i="1"/>
  <c r="X135" i="1"/>
  <c r="Y135" i="1"/>
  <c r="Z135" i="1"/>
  <c r="AB135" i="1"/>
  <c r="AE135" i="1"/>
  <c r="W136" i="1"/>
  <c r="X136" i="1"/>
  <c r="Y136" i="1"/>
  <c r="Z136" i="1"/>
  <c r="AD136" i="1"/>
  <c r="AE136" i="1"/>
  <c r="AE140" i="1"/>
  <c r="W97" i="1"/>
  <c r="X97" i="1"/>
  <c r="Y97" i="1"/>
  <c r="Z97" i="1"/>
  <c r="AD97" i="1"/>
  <c r="AE97" i="1"/>
  <c r="W98" i="1"/>
  <c r="X98" i="1"/>
  <c r="Y98" i="1"/>
  <c r="Z98" i="1"/>
  <c r="AD98" i="1"/>
  <c r="AE98" i="1"/>
  <c r="W99" i="1"/>
  <c r="X99" i="1"/>
  <c r="Y99" i="1"/>
  <c r="Z99" i="1"/>
  <c r="AD99" i="1"/>
  <c r="AE99" i="1"/>
  <c r="W100" i="1"/>
  <c r="X100" i="1"/>
  <c r="Y100" i="1"/>
  <c r="Z100" i="1"/>
  <c r="AD100" i="1"/>
  <c r="AE100" i="1"/>
  <c r="W101" i="1"/>
  <c r="X101" i="1"/>
  <c r="Y101" i="1"/>
  <c r="Z101" i="1"/>
  <c r="AD101" i="1"/>
  <c r="AE101" i="1"/>
  <c r="W102" i="1"/>
  <c r="X102" i="1"/>
  <c r="Y102" i="1"/>
  <c r="Z102" i="1"/>
  <c r="AB102" i="1"/>
  <c r="AE102" i="1"/>
  <c r="W103" i="1"/>
  <c r="X103" i="1"/>
  <c r="Y103" i="1"/>
  <c r="Z103" i="1"/>
  <c r="AD103" i="1"/>
  <c r="AE103" i="1"/>
  <c r="W104" i="1"/>
  <c r="X104" i="1"/>
  <c r="Y104" i="1"/>
  <c r="Z104" i="1"/>
  <c r="AD104" i="1"/>
  <c r="AE104" i="1"/>
  <c r="W105" i="1"/>
  <c r="X105" i="1"/>
  <c r="Y105" i="1"/>
  <c r="Z105" i="1"/>
  <c r="AB105" i="1"/>
  <c r="AE105" i="1"/>
  <c r="W106" i="1"/>
  <c r="X106" i="1"/>
  <c r="Y106" i="1"/>
  <c r="Z106" i="1"/>
  <c r="AD106" i="1"/>
  <c r="AE106" i="1"/>
  <c r="W107" i="1"/>
  <c r="X107" i="1"/>
  <c r="Y107" i="1"/>
  <c r="Z107" i="1"/>
  <c r="AB107" i="1"/>
  <c r="AE107" i="1"/>
  <c r="W108" i="1"/>
  <c r="X108" i="1"/>
  <c r="Y108" i="1"/>
  <c r="Z108" i="1"/>
  <c r="AD108" i="1"/>
  <c r="AE108" i="1"/>
  <c r="W109" i="1"/>
  <c r="X109" i="1"/>
  <c r="Y109" i="1"/>
  <c r="Z109" i="1"/>
  <c r="AD109" i="1"/>
  <c r="AE109" i="1"/>
  <c r="W110" i="1"/>
  <c r="X110" i="1"/>
  <c r="Y110" i="1"/>
  <c r="Z110" i="1"/>
  <c r="AD110" i="1"/>
  <c r="AE110" i="1"/>
  <c r="W111" i="1"/>
  <c r="X111" i="1"/>
  <c r="Y111" i="1"/>
  <c r="Z111" i="1"/>
  <c r="AB111" i="1"/>
  <c r="AE111" i="1"/>
  <c r="W112" i="1"/>
  <c r="X112" i="1"/>
  <c r="Y112" i="1"/>
  <c r="Z112" i="1"/>
  <c r="AB112" i="1"/>
  <c r="AE112" i="1"/>
  <c r="W113" i="1"/>
  <c r="X113" i="1"/>
  <c r="Y113" i="1"/>
  <c r="Z113" i="1"/>
  <c r="AD113" i="1"/>
  <c r="AE113" i="1"/>
  <c r="W114" i="1"/>
  <c r="X114" i="1"/>
  <c r="Y114" i="1"/>
  <c r="Z114" i="1"/>
  <c r="AD114" i="1"/>
  <c r="AE114" i="1"/>
  <c r="W115" i="1"/>
  <c r="X115" i="1"/>
  <c r="Y115" i="1"/>
  <c r="Z115" i="1"/>
  <c r="AD115" i="1"/>
  <c r="AE115" i="1"/>
  <c r="W116" i="1"/>
  <c r="X116" i="1"/>
  <c r="Y116" i="1"/>
  <c r="Z116" i="1"/>
  <c r="AB116" i="1"/>
  <c r="AE116" i="1"/>
  <c r="AE119" i="1"/>
  <c r="W78" i="1"/>
  <c r="X78" i="1"/>
  <c r="Y78" i="1"/>
  <c r="Z78" i="1"/>
  <c r="AD78" i="1"/>
  <c r="AE78" i="1"/>
  <c r="W79" i="1"/>
  <c r="X79" i="1"/>
  <c r="Y79" i="1"/>
  <c r="Z79" i="1"/>
  <c r="AD79" i="1"/>
  <c r="AE79" i="1"/>
  <c r="W80" i="1"/>
  <c r="X80" i="1"/>
  <c r="Y80" i="1"/>
  <c r="Z80" i="1"/>
  <c r="AD80" i="1"/>
  <c r="AE80" i="1"/>
  <c r="W81" i="1"/>
  <c r="X81" i="1"/>
  <c r="Y81" i="1"/>
  <c r="Z81" i="1"/>
  <c r="AB81" i="1"/>
  <c r="AE81" i="1"/>
  <c r="W82" i="1"/>
  <c r="X82" i="1"/>
  <c r="Y82" i="1"/>
  <c r="Z82" i="1"/>
  <c r="AD82" i="1"/>
  <c r="AE82" i="1"/>
  <c r="W83" i="1"/>
  <c r="X83" i="1"/>
  <c r="Y83" i="1"/>
  <c r="Z83" i="1"/>
  <c r="AB83" i="1"/>
  <c r="AE83" i="1"/>
  <c r="W84" i="1"/>
  <c r="X84" i="1"/>
  <c r="Y84" i="1"/>
  <c r="Z84" i="1"/>
  <c r="AB84" i="1"/>
  <c r="AE84" i="1"/>
  <c r="W85" i="1"/>
  <c r="X85" i="1"/>
  <c r="Y85" i="1"/>
  <c r="Z85" i="1"/>
  <c r="AB85" i="1"/>
  <c r="AE85" i="1"/>
  <c r="W86" i="1"/>
  <c r="X86" i="1"/>
  <c r="Y86" i="1"/>
  <c r="Z86" i="1"/>
  <c r="AB86" i="1"/>
  <c r="AE86" i="1"/>
  <c r="W87" i="1"/>
  <c r="X87" i="1"/>
  <c r="Y87" i="1"/>
  <c r="Z87" i="1"/>
  <c r="AB87" i="1"/>
  <c r="AE87" i="1"/>
  <c r="W88" i="1"/>
  <c r="X88" i="1"/>
  <c r="Y88" i="1"/>
  <c r="Z88" i="1"/>
  <c r="AB88" i="1"/>
  <c r="AE88" i="1"/>
  <c r="W89" i="1"/>
  <c r="X89" i="1"/>
  <c r="Z89" i="1"/>
  <c r="AB89" i="1"/>
  <c r="AE89" i="1"/>
  <c r="W90" i="1"/>
  <c r="X90" i="1"/>
  <c r="Z90" i="1"/>
  <c r="AB90" i="1"/>
  <c r="AE90" i="1"/>
  <c r="W91" i="1"/>
  <c r="X91" i="1"/>
  <c r="Z91" i="1"/>
  <c r="AD91" i="1"/>
  <c r="AE91" i="1"/>
  <c r="W92" i="1"/>
  <c r="X92" i="1"/>
  <c r="Z92" i="1"/>
  <c r="AD92" i="1"/>
  <c r="AE92" i="1"/>
  <c r="AE95" i="1"/>
  <c r="W51" i="1"/>
  <c r="X51" i="1"/>
  <c r="Y51" i="1"/>
  <c r="Z51" i="1"/>
  <c r="AD51" i="1"/>
  <c r="AE51" i="1"/>
  <c r="W52" i="1"/>
  <c r="X52" i="1"/>
  <c r="Y52" i="1"/>
  <c r="Z52" i="1"/>
  <c r="AB52" i="1"/>
  <c r="AE52" i="1"/>
  <c r="W53" i="1"/>
  <c r="X53" i="1"/>
  <c r="Y53" i="1"/>
  <c r="Z53" i="1"/>
  <c r="AB53" i="1"/>
  <c r="AE53" i="1"/>
  <c r="W54" i="1"/>
  <c r="X54" i="1"/>
  <c r="Y54" i="1"/>
  <c r="Z54" i="1"/>
  <c r="AB54" i="1"/>
  <c r="AE54" i="1"/>
  <c r="W55" i="1"/>
  <c r="X55" i="1"/>
  <c r="Y55" i="1"/>
  <c r="Z55" i="1"/>
  <c r="AB55" i="1"/>
  <c r="AE55" i="1"/>
  <c r="W56" i="1"/>
  <c r="X56" i="1"/>
  <c r="Y56" i="1"/>
  <c r="Z56" i="1"/>
  <c r="AB56" i="1"/>
  <c r="AE56" i="1"/>
  <c r="W57" i="1"/>
  <c r="X57" i="1"/>
  <c r="Y57" i="1"/>
  <c r="Z57" i="1"/>
  <c r="AB57" i="1"/>
  <c r="AE57" i="1"/>
  <c r="W58" i="1"/>
  <c r="X58" i="1"/>
  <c r="Y58" i="1"/>
  <c r="Z58" i="1"/>
  <c r="AD58" i="1"/>
  <c r="AE58" i="1"/>
  <c r="W59" i="1"/>
  <c r="X59" i="1"/>
  <c r="Y59" i="1"/>
  <c r="Z59" i="1"/>
  <c r="AB59" i="1"/>
  <c r="AE59" i="1"/>
  <c r="W60" i="1"/>
  <c r="X60" i="1"/>
  <c r="Y60" i="1"/>
  <c r="Z60" i="1"/>
  <c r="AB60" i="1"/>
  <c r="AE60" i="1"/>
  <c r="W61" i="1"/>
  <c r="X61" i="1"/>
  <c r="Y61" i="1"/>
  <c r="Z61" i="1"/>
  <c r="AB61" i="1"/>
  <c r="AE61" i="1"/>
  <c r="W62" i="1"/>
  <c r="X62" i="1"/>
  <c r="Y62" i="1"/>
  <c r="Z62" i="1"/>
  <c r="AB62" i="1"/>
  <c r="AE62" i="1"/>
  <c r="X63" i="1"/>
  <c r="Z63" i="1"/>
  <c r="AD63" i="1"/>
  <c r="AE63" i="1"/>
  <c r="W64" i="1"/>
  <c r="X64" i="1"/>
  <c r="Y64" i="1"/>
  <c r="Z64" i="1"/>
  <c r="AB64" i="1"/>
  <c r="AE64" i="1"/>
  <c r="W65" i="1"/>
  <c r="X65" i="1"/>
  <c r="Y65" i="1"/>
  <c r="Z65" i="1"/>
  <c r="AD65" i="1"/>
  <c r="AE65" i="1"/>
  <c r="W66" i="1"/>
  <c r="X66" i="1"/>
  <c r="Y66" i="1"/>
  <c r="Z66" i="1"/>
  <c r="AB66" i="1"/>
  <c r="AE66" i="1"/>
  <c r="W67" i="1"/>
  <c r="X67" i="1"/>
  <c r="Y67" i="1"/>
  <c r="Z67" i="1"/>
  <c r="AD67" i="1"/>
  <c r="AE67" i="1"/>
  <c r="W68" i="1"/>
  <c r="X68" i="1"/>
  <c r="Y68" i="1"/>
  <c r="Z68" i="1"/>
  <c r="AD68" i="1"/>
  <c r="AE68" i="1"/>
  <c r="W69" i="1"/>
  <c r="X69" i="1"/>
  <c r="Y69" i="1"/>
  <c r="Z69" i="1"/>
  <c r="AB69" i="1"/>
  <c r="AE69" i="1"/>
  <c r="W70" i="1"/>
  <c r="X70" i="1"/>
  <c r="Y70" i="1"/>
  <c r="Z70" i="1"/>
  <c r="AB70" i="1"/>
  <c r="AE70" i="1"/>
  <c r="W71" i="1"/>
  <c r="X71" i="1"/>
  <c r="Y71" i="1"/>
  <c r="Z71" i="1"/>
  <c r="AB71" i="1"/>
  <c r="AE71" i="1"/>
  <c r="W72" i="1"/>
  <c r="X72" i="1"/>
  <c r="Y72" i="1"/>
  <c r="Z72" i="1"/>
  <c r="AD72" i="1"/>
  <c r="AE72" i="1"/>
  <c r="W73" i="1"/>
  <c r="X73" i="1"/>
  <c r="Y73" i="1"/>
  <c r="Z73" i="1"/>
  <c r="AB73" i="1"/>
  <c r="AE73" i="1"/>
  <c r="AE76" i="1"/>
  <c r="W37" i="1"/>
  <c r="X37" i="1"/>
  <c r="Y37" i="1"/>
  <c r="Z37" i="1"/>
  <c r="AB37" i="1"/>
  <c r="AE37" i="1"/>
  <c r="W38" i="1"/>
  <c r="X38" i="1"/>
  <c r="Y38" i="1"/>
  <c r="Z38" i="1"/>
  <c r="AD38" i="1"/>
  <c r="AE38" i="1"/>
  <c r="W39" i="1"/>
  <c r="X39" i="1"/>
  <c r="Y39" i="1"/>
  <c r="Z39" i="1"/>
  <c r="AD39" i="1"/>
  <c r="AE39" i="1"/>
  <c r="W40" i="1"/>
  <c r="X40" i="1"/>
  <c r="Y40" i="1"/>
  <c r="Z40" i="1"/>
  <c r="AB40" i="1"/>
  <c r="AE40" i="1"/>
  <c r="W41" i="1"/>
  <c r="X41" i="1"/>
  <c r="Y41" i="1"/>
  <c r="Z41" i="1"/>
  <c r="AB41" i="1"/>
  <c r="AE41" i="1"/>
  <c r="W42" i="1"/>
  <c r="X42" i="1"/>
  <c r="Y42" i="1"/>
  <c r="Z42" i="1"/>
  <c r="AB42" i="1"/>
  <c r="AE42" i="1"/>
  <c r="W43" i="1"/>
  <c r="X43" i="1"/>
  <c r="Y43" i="1"/>
  <c r="Z43" i="1"/>
  <c r="AB43" i="1"/>
  <c r="AE43" i="1"/>
  <c r="W44" i="1"/>
  <c r="X44" i="1"/>
  <c r="Y44" i="1"/>
  <c r="Z44" i="1"/>
  <c r="AB44" i="1"/>
  <c r="AE44" i="1"/>
  <c r="W45" i="1"/>
  <c r="X45" i="1"/>
  <c r="Y45" i="1"/>
  <c r="Z45" i="1"/>
  <c r="AB45" i="1"/>
  <c r="AE45" i="1"/>
  <c r="W46" i="1"/>
  <c r="X46" i="1"/>
  <c r="Y46" i="1"/>
  <c r="Z46" i="1"/>
  <c r="AB46" i="1"/>
  <c r="AE46" i="1"/>
  <c r="W47" i="1"/>
  <c r="X47" i="1"/>
  <c r="Y47" i="1"/>
  <c r="Z47" i="1"/>
  <c r="AB47" i="1"/>
  <c r="AE47" i="1"/>
  <c r="AE49" i="1"/>
  <c r="W29" i="1"/>
  <c r="X29" i="1"/>
  <c r="Y29" i="1"/>
  <c r="Z29" i="1"/>
  <c r="AB29" i="1"/>
  <c r="AE29" i="1"/>
  <c r="W30" i="1"/>
  <c r="X30" i="1"/>
  <c r="Y30" i="1"/>
  <c r="Z30" i="1"/>
  <c r="AD30" i="1"/>
  <c r="AE30" i="1"/>
  <c r="W31" i="1"/>
  <c r="X31" i="1"/>
  <c r="Y31" i="1"/>
  <c r="Z31" i="1"/>
  <c r="AD31" i="1"/>
  <c r="AE31" i="1"/>
  <c r="W32" i="1"/>
  <c r="X32" i="1"/>
  <c r="Y32" i="1"/>
  <c r="Z32" i="1"/>
  <c r="AD32" i="1"/>
  <c r="AE32" i="1"/>
  <c r="W33" i="1"/>
  <c r="X33" i="1"/>
  <c r="Y33" i="1"/>
  <c r="Z33" i="1"/>
  <c r="AB33" i="1"/>
  <c r="AE33" i="1"/>
  <c r="AE35" i="1"/>
  <c r="W26" i="1"/>
  <c r="X26" i="1"/>
  <c r="Y26" i="1"/>
  <c r="Z26" i="1"/>
  <c r="AE143" i="1"/>
  <c r="AF140" i="1"/>
  <c r="AF119" i="1"/>
  <c r="AF95" i="1"/>
  <c r="AF76" i="1"/>
  <c r="AF49" i="1"/>
  <c r="AF35" i="1"/>
  <c r="AF143" i="1"/>
  <c r="AF144" i="1"/>
  <c r="AA143" i="1"/>
  <c r="AC144" i="1"/>
  <c r="AM140" i="1"/>
  <c r="AH100" i="1"/>
  <c r="AI100" i="1"/>
  <c r="AJ100" i="1"/>
  <c r="AH101" i="1"/>
  <c r="AI101" i="1"/>
  <c r="AJ101" i="1"/>
  <c r="AH102" i="1"/>
  <c r="AI102" i="1"/>
  <c r="AJ102" i="1"/>
  <c r="AH103" i="1"/>
  <c r="AI103" i="1"/>
  <c r="AJ103" i="1"/>
  <c r="AH105" i="1"/>
  <c r="AI105" i="1"/>
  <c r="AJ105" i="1"/>
  <c r="AH107" i="1"/>
  <c r="AI107" i="1"/>
  <c r="AJ107" i="1"/>
  <c r="AH109" i="1"/>
  <c r="AI109" i="1"/>
  <c r="AJ109" i="1"/>
  <c r="AH110" i="1"/>
  <c r="AI110" i="1"/>
  <c r="AJ110" i="1"/>
  <c r="AH111" i="1"/>
  <c r="AI111" i="1"/>
  <c r="AJ111" i="1"/>
  <c r="AH112" i="1"/>
  <c r="AI112" i="1"/>
  <c r="AJ112" i="1"/>
  <c r="AH113" i="1"/>
  <c r="AI113" i="1"/>
  <c r="AJ113" i="1"/>
  <c r="AH114" i="1"/>
  <c r="AI114" i="1"/>
  <c r="AJ114" i="1"/>
  <c r="AH115" i="1"/>
  <c r="AI115" i="1"/>
  <c r="AJ115" i="1"/>
  <c r="AH116" i="1"/>
  <c r="AI116" i="1"/>
  <c r="AJ116" i="1"/>
  <c r="AM119" i="1"/>
  <c r="AH78" i="1"/>
  <c r="AI78" i="1"/>
  <c r="AJ78" i="1"/>
  <c r="AH79" i="1"/>
  <c r="AI79" i="1"/>
  <c r="AJ79" i="1"/>
  <c r="AH80" i="1"/>
  <c r="AI80" i="1"/>
  <c r="AJ80" i="1"/>
  <c r="AH81" i="1"/>
  <c r="AI81" i="1"/>
  <c r="AJ81" i="1"/>
  <c r="AH82" i="1"/>
  <c r="AI82" i="1"/>
  <c r="AJ82" i="1"/>
  <c r="AH83" i="1"/>
  <c r="AI83" i="1"/>
  <c r="AJ83" i="1"/>
  <c r="AH84" i="1"/>
  <c r="AI84" i="1"/>
  <c r="AJ84" i="1"/>
  <c r="AH85" i="1"/>
  <c r="AI85" i="1"/>
  <c r="AJ85" i="1"/>
  <c r="AH86" i="1"/>
  <c r="AI86" i="1"/>
  <c r="AJ86" i="1"/>
  <c r="AH87" i="1"/>
  <c r="AI87" i="1"/>
  <c r="AJ87" i="1"/>
  <c r="AH88" i="1"/>
  <c r="AI88" i="1"/>
  <c r="AJ88" i="1"/>
  <c r="AH89" i="1"/>
  <c r="AI89" i="1"/>
  <c r="AJ89" i="1"/>
  <c r="AH92" i="1"/>
  <c r="AI92" i="1"/>
  <c r="AJ92" i="1"/>
  <c r="AM95" i="1"/>
  <c r="AH51" i="1"/>
  <c r="AI51" i="1"/>
  <c r="AJ51" i="1"/>
  <c r="AH52" i="1"/>
  <c r="AI52" i="1"/>
  <c r="AJ52" i="1"/>
  <c r="AH53" i="1"/>
  <c r="AI53" i="1"/>
  <c r="AJ53" i="1"/>
  <c r="AH54" i="1"/>
  <c r="AI54" i="1"/>
  <c r="AJ54" i="1"/>
  <c r="AH55" i="1"/>
  <c r="AI55" i="1"/>
  <c r="AJ55" i="1"/>
  <c r="AH56" i="1"/>
  <c r="AI56" i="1"/>
  <c r="AJ56" i="1"/>
  <c r="AH59" i="1"/>
  <c r="AI59" i="1"/>
  <c r="AJ59" i="1"/>
  <c r="AH60" i="1"/>
  <c r="AI60" i="1"/>
  <c r="AJ60" i="1"/>
  <c r="AH61" i="1"/>
  <c r="AI61" i="1"/>
  <c r="AJ61" i="1"/>
  <c r="AH62" i="1"/>
  <c r="AI62" i="1"/>
  <c r="AJ62" i="1"/>
  <c r="AH63" i="1"/>
  <c r="AI63" i="1"/>
  <c r="AJ63" i="1"/>
  <c r="AH65" i="1"/>
  <c r="AI65" i="1"/>
  <c r="AJ65" i="1"/>
  <c r="AH66" i="1"/>
  <c r="AI66" i="1"/>
  <c r="AJ66" i="1"/>
  <c r="AH67" i="1"/>
  <c r="AI67" i="1"/>
  <c r="AJ67" i="1"/>
  <c r="AH68" i="1"/>
  <c r="AI68" i="1"/>
  <c r="AJ68" i="1"/>
  <c r="AH72" i="1"/>
  <c r="AI72" i="1"/>
  <c r="AJ72" i="1"/>
  <c r="AM76" i="1"/>
  <c r="AH37" i="1"/>
  <c r="AI37" i="1"/>
  <c r="AJ37" i="1"/>
  <c r="AH38" i="1"/>
  <c r="AI38" i="1"/>
  <c r="AJ38" i="1"/>
  <c r="AH39" i="1"/>
  <c r="AI39" i="1"/>
  <c r="AJ39" i="1"/>
  <c r="AH40" i="1"/>
  <c r="AI40" i="1"/>
  <c r="AJ40" i="1"/>
  <c r="AH41" i="1"/>
  <c r="AI41" i="1"/>
  <c r="AJ41" i="1"/>
  <c r="AH42" i="1"/>
  <c r="AI42" i="1"/>
  <c r="AJ42" i="1"/>
  <c r="AH43" i="1"/>
  <c r="AI43" i="1"/>
  <c r="AJ43" i="1"/>
  <c r="AH44" i="1"/>
  <c r="AI44" i="1"/>
  <c r="AJ44" i="1"/>
  <c r="AH45" i="1"/>
  <c r="AI45" i="1"/>
  <c r="AJ45" i="1"/>
  <c r="AH46" i="1"/>
  <c r="AI46" i="1"/>
  <c r="AJ46" i="1"/>
  <c r="AM49" i="1"/>
  <c r="AH29" i="1"/>
  <c r="AI29" i="1"/>
  <c r="AJ29" i="1"/>
  <c r="AH30" i="1"/>
  <c r="AI30" i="1"/>
  <c r="AJ30" i="1"/>
  <c r="AH31" i="1"/>
  <c r="AI31" i="1"/>
  <c r="AJ31" i="1"/>
  <c r="AH32" i="1"/>
  <c r="AI32" i="1"/>
  <c r="AJ32" i="1"/>
  <c r="AH33" i="1"/>
  <c r="AI33" i="1"/>
  <c r="AJ33" i="1"/>
  <c r="AM35" i="1"/>
  <c r="AM143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40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9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5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6" i="1"/>
  <c r="AL37" i="1"/>
  <c r="AL38" i="1"/>
  <c r="AL39" i="1"/>
  <c r="AL40" i="1"/>
  <c r="AL41" i="1"/>
  <c r="AL42" i="1"/>
  <c r="AL43" i="1"/>
  <c r="AL44" i="1"/>
  <c r="AL45" i="1"/>
  <c r="AL46" i="1"/>
  <c r="AL47" i="1"/>
  <c r="AL49" i="1"/>
  <c r="AL29" i="1"/>
  <c r="AL30" i="1"/>
  <c r="AL31" i="1"/>
  <c r="AL32" i="1"/>
  <c r="AL33" i="1"/>
  <c r="AL35" i="1"/>
  <c r="AL10" i="1"/>
  <c r="AL11" i="1"/>
  <c r="AL26" i="1"/>
  <c r="AL143" i="1"/>
  <c r="AG140" i="1"/>
  <c r="AG119" i="1"/>
  <c r="AG95" i="1"/>
  <c r="AG76" i="1"/>
  <c r="AG49" i="1"/>
  <c r="AG35" i="1"/>
  <c r="AG143" i="1"/>
  <c r="AD140" i="1"/>
  <c r="AD119" i="1"/>
  <c r="AD95" i="1"/>
  <c r="AD76" i="1"/>
  <c r="AD49" i="1"/>
  <c r="AD35" i="1"/>
  <c r="AD143" i="1"/>
  <c r="AC140" i="1"/>
  <c r="AC119" i="1"/>
  <c r="AC95" i="1"/>
  <c r="AC76" i="1"/>
  <c r="AC49" i="1"/>
  <c r="AC35" i="1"/>
  <c r="AC143" i="1"/>
  <c r="AB140" i="1"/>
  <c r="AB119" i="1"/>
  <c r="AB95" i="1"/>
  <c r="AB76" i="1"/>
  <c r="AB49" i="1"/>
  <c r="AB35" i="1"/>
  <c r="AB143" i="1"/>
  <c r="Z140" i="1"/>
  <c r="Z119" i="1"/>
  <c r="Z95" i="1"/>
  <c r="Z76" i="1"/>
  <c r="Z49" i="1"/>
  <c r="Z35" i="1"/>
  <c r="Z143" i="1"/>
  <c r="Y140" i="1"/>
  <c r="Y119" i="1"/>
  <c r="Y95" i="1"/>
  <c r="Y76" i="1"/>
  <c r="Y49" i="1"/>
  <c r="Y35" i="1"/>
  <c r="Y143" i="1"/>
  <c r="X140" i="1"/>
  <c r="X119" i="1"/>
  <c r="X95" i="1"/>
  <c r="X76" i="1"/>
  <c r="X49" i="1"/>
  <c r="X35" i="1"/>
  <c r="X143" i="1"/>
  <c r="W140" i="1"/>
  <c r="W119" i="1"/>
  <c r="W95" i="1"/>
  <c r="W76" i="1"/>
  <c r="W49" i="1"/>
  <c r="W35" i="1"/>
  <c r="W143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40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9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5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6" i="1"/>
  <c r="V37" i="1"/>
  <c r="V38" i="1"/>
  <c r="V39" i="1"/>
  <c r="V40" i="1"/>
  <c r="V41" i="1"/>
  <c r="V42" i="1"/>
  <c r="V43" i="1"/>
  <c r="V44" i="1"/>
  <c r="V45" i="1"/>
  <c r="V46" i="1"/>
  <c r="V47" i="1"/>
  <c r="V49" i="1"/>
  <c r="V29" i="1"/>
  <c r="V30" i="1"/>
  <c r="V31" i="1"/>
  <c r="V32" i="1"/>
  <c r="V33" i="1"/>
  <c r="V35" i="1"/>
  <c r="V11" i="1"/>
  <c r="V26" i="1"/>
  <c r="V143" i="1"/>
  <c r="AL138" i="1"/>
  <c r="W138" i="1"/>
  <c r="X138" i="1"/>
  <c r="Y138" i="1"/>
  <c r="Z138" i="1"/>
  <c r="AB138" i="1"/>
  <c r="AE138" i="1"/>
  <c r="AH138" i="1"/>
  <c r="AI138" i="1"/>
  <c r="AJ138" i="1"/>
  <c r="AK138" i="1"/>
  <c r="V138" i="1"/>
  <c r="AA138" i="1"/>
  <c r="AL137" i="1"/>
  <c r="W137" i="1"/>
  <c r="X137" i="1"/>
  <c r="Y137" i="1"/>
  <c r="Z137" i="1"/>
  <c r="AB137" i="1"/>
  <c r="AE137" i="1"/>
  <c r="AH137" i="1"/>
  <c r="AI137" i="1"/>
  <c r="AJ137" i="1"/>
  <c r="AK137" i="1"/>
  <c r="V137" i="1"/>
  <c r="AA137" i="1"/>
  <c r="AH136" i="1"/>
  <c r="AI136" i="1"/>
  <c r="AJ136" i="1"/>
  <c r="AK136" i="1"/>
  <c r="AA136" i="1"/>
  <c r="AH135" i="1"/>
  <c r="AI135" i="1"/>
  <c r="AJ135" i="1"/>
  <c r="AK135" i="1"/>
  <c r="AA135" i="1"/>
  <c r="AH134" i="1"/>
  <c r="AI134" i="1"/>
  <c r="AJ134" i="1"/>
  <c r="AK134" i="1"/>
  <c r="AA134" i="1"/>
  <c r="AH133" i="1"/>
  <c r="AI133" i="1"/>
  <c r="AJ133" i="1"/>
  <c r="AK133" i="1"/>
  <c r="AA133" i="1"/>
  <c r="C133" i="1"/>
  <c r="AH132" i="1"/>
  <c r="AI132" i="1"/>
  <c r="AJ132" i="1"/>
  <c r="AK132" i="1"/>
  <c r="AA132" i="1"/>
  <c r="C132" i="1"/>
  <c r="AH131" i="1"/>
  <c r="AI131" i="1"/>
  <c r="AJ131" i="1"/>
  <c r="AK131" i="1"/>
  <c r="AA131" i="1"/>
  <c r="C131" i="1"/>
  <c r="AH130" i="1"/>
  <c r="AI130" i="1"/>
  <c r="AJ130" i="1"/>
  <c r="AK130" i="1"/>
  <c r="AA130" i="1"/>
  <c r="AH129" i="1"/>
  <c r="AI129" i="1"/>
  <c r="AJ129" i="1"/>
  <c r="AK129" i="1"/>
  <c r="AA129" i="1"/>
  <c r="C129" i="1"/>
  <c r="AH128" i="1"/>
  <c r="AI128" i="1"/>
  <c r="AJ128" i="1"/>
  <c r="AK128" i="1"/>
  <c r="AA128" i="1"/>
  <c r="C128" i="1"/>
  <c r="AH127" i="1"/>
  <c r="AI127" i="1"/>
  <c r="AJ127" i="1"/>
  <c r="AK127" i="1"/>
  <c r="AA127" i="1"/>
  <c r="C127" i="1"/>
  <c r="AH126" i="1"/>
  <c r="AI126" i="1"/>
  <c r="AJ126" i="1"/>
  <c r="AK126" i="1"/>
  <c r="AA126" i="1"/>
  <c r="C126" i="1"/>
  <c r="AH125" i="1"/>
  <c r="AI125" i="1"/>
  <c r="AJ125" i="1"/>
  <c r="AK125" i="1"/>
  <c r="AA125" i="1"/>
  <c r="C125" i="1"/>
  <c r="AH124" i="1"/>
  <c r="AI124" i="1"/>
  <c r="AJ124" i="1"/>
  <c r="AK124" i="1"/>
  <c r="AA124" i="1"/>
  <c r="C124" i="1"/>
  <c r="AH123" i="1"/>
  <c r="AI123" i="1"/>
  <c r="AJ123" i="1"/>
  <c r="AK123" i="1"/>
  <c r="AA123" i="1"/>
  <c r="AH122" i="1"/>
  <c r="AI122" i="1"/>
  <c r="AJ122" i="1"/>
  <c r="AK122" i="1"/>
  <c r="AA122" i="1"/>
  <c r="AH121" i="1"/>
  <c r="AI121" i="1"/>
  <c r="AJ121" i="1"/>
  <c r="AK121" i="1"/>
  <c r="AA121" i="1"/>
  <c r="C102" i="1"/>
  <c r="C109" i="1"/>
  <c r="C110" i="1"/>
  <c r="C111" i="1"/>
  <c r="D47" i="1"/>
  <c r="F28" i="1"/>
  <c r="E47" i="1"/>
  <c r="C47" i="1"/>
  <c r="K117" i="1"/>
  <c r="AK116" i="1"/>
  <c r="AA116" i="1"/>
  <c r="AK115" i="1"/>
  <c r="AA115" i="1"/>
  <c r="AK114" i="1"/>
  <c r="AA114" i="1"/>
  <c r="M114" i="1"/>
  <c r="L114" i="1"/>
  <c r="C107" i="1"/>
  <c r="K114" i="1"/>
  <c r="AK113" i="1"/>
  <c r="AA113" i="1"/>
  <c r="AK112" i="1"/>
  <c r="AA112" i="1"/>
  <c r="AK111" i="1"/>
  <c r="AA111" i="1"/>
  <c r="AK110" i="1"/>
  <c r="AA110" i="1"/>
  <c r="M110" i="1"/>
  <c r="L110" i="1"/>
  <c r="C106" i="1"/>
  <c r="K110" i="1"/>
  <c r="AK109" i="1"/>
  <c r="AA109" i="1"/>
  <c r="AH108" i="1"/>
  <c r="AI108" i="1"/>
  <c r="AJ108" i="1"/>
  <c r="AK108" i="1"/>
  <c r="AA108" i="1"/>
  <c r="AK107" i="1"/>
  <c r="AA107" i="1"/>
  <c r="AH106" i="1"/>
  <c r="AI106" i="1"/>
  <c r="AJ106" i="1"/>
  <c r="AK106" i="1"/>
  <c r="AA106" i="1"/>
  <c r="L106" i="1"/>
  <c r="N106" i="1"/>
  <c r="M106" i="1"/>
  <c r="C104" i="1"/>
  <c r="K106" i="1"/>
  <c r="AK105" i="1"/>
  <c r="AA105" i="1"/>
  <c r="C105" i="1"/>
  <c r="AH104" i="1"/>
  <c r="AI104" i="1"/>
  <c r="AJ104" i="1"/>
  <c r="AK104" i="1"/>
  <c r="AA104" i="1"/>
  <c r="AK103" i="1"/>
  <c r="AA103" i="1"/>
  <c r="C103" i="1"/>
  <c r="AK102" i="1"/>
  <c r="AA102" i="1"/>
  <c r="L102" i="1"/>
  <c r="N102" i="1"/>
  <c r="M102" i="1"/>
  <c r="K102" i="1"/>
  <c r="AK101" i="1"/>
  <c r="AA101" i="1"/>
  <c r="AK100" i="1"/>
  <c r="AA100" i="1"/>
  <c r="AH99" i="1"/>
  <c r="AI99" i="1"/>
  <c r="AJ99" i="1"/>
  <c r="AK99" i="1"/>
  <c r="AA99" i="1"/>
  <c r="AH98" i="1"/>
  <c r="AI98" i="1"/>
  <c r="AJ98" i="1"/>
  <c r="AK98" i="1"/>
  <c r="AA98" i="1"/>
  <c r="AH97" i="1"/>
  <c r="AI97" i="1"/>
  <c r="AJ97" i="1"/>
  <c r="AK97" i="1"/>
  <c r="AA97" i="1"/>
  <c r="AL93" i="1"/>
  <c r="W93" i="1"/>
  <c r="X93" i="1"/>
  <c r="Z93" i="1"/>
  <c r="AB93" i="1"/>
  <c r="AE93" i="1"/>
  <c r="AH93" i="1"/>
  <c r="AI93" i="1"/>
  <c r="AJ93" i="1"/>
  <c r="AK93" i="1"/>
  <c r="V93" i="1"/>
  <c r="AA93" i="1"/>
  <c r="AK92" i="1"/>
  <c r="AA92" i="1"/>
  <c r="D92" i="1"/>
  <c r="G92" i="1"/>
  <c r="AH91" i="1"/>
  <c r="AI91" i="1"/>
  <c r="AJ91" i="1"/>
  <c r="AK91" i="1"/>
  <c r="AA91" i="1"/>
  <c r="D91" i="1"/>
  <c r="G91" i="1"/>
  <c r="AH90" i="1"/>
  <c r="AI90" i="1"/>
  <c r="AJ90" i="1"/>
  <c r="AK90" i="1"/>
  <c r="AA90" i="1"/>
  <c r="D90" i="1"/>
  <c r="G90" i="1"/>
  <c r="AK89" i="1"/>
  <c r="AA89" i="1"/>
  <c r="D89" i="1"/>
  <c r="G89" i="1"/>
  <c r="AK88" i="1"/>
  <c r="AA88" i="1"/>
  <c r="D88" i="1"/>
  <c r="G88" i="1"/>
  <c r="AK87" i="1"/>
  <c r="AA87" i="1"/>
  <c r="D87" i="1"/>
  <c r="G87" i="1"/>
  <c r="AK86" i="1"/>
  <c r="AA86" i="1"/>
  <c r="D86" i="1"/>
  <c r="G86" i="1"/>
  <c r="AK85" i="1"/>
  <c r="AA85" i="1"/>
  <c r="AK84" i="1"/>
  <c r="AA84" i="1"/>
  <c r="AK83" i="1"/>
  <c r="AA83" i="1"/>
  <c r="AK82" i="1"/>
  <c r="AA82" i="1"/>
  <c r="AK81" i="1"/>
  <c r="AA81" i="1"/>
  <c r="AK80" i="1"/>
  <c r="AA80" i="1"/>
  <c r="AK79" i="1"/>
  <c r="AA79" i="1"/>
  <c r="AK78" i="1"/>
  <c r="AA78" i="1"/>
  <c r="AH73" i="1"/>
  <c r="AC7" i="1"/>
  <c r="AI73" i="1"/>
  <c r="AJ73" i="1"/>
  <c r="AK73" i="1"/>
  <c r="AA73" i="1"/>
  <c r="AK72" i="1"/>
  <c r="AA72" i="1"/>
  <c r="AH71" i="1"/>
  <c r="AI71" i="1"/>
  <c r="AJ71" i="1"/>
  <c r="AK71" i="1"/>
  <c r="AA71" i="1"/>
  <c r="AH70" i="1"/>
  <c r="AI70" i="1"/>
  <c r="AJ70" i="1"/>
  <c r="AK70" i="1"/>
  <c r="AA70" i="1"/>
  <c r="I70" i="1"/>
  <c r="AH69" i="1"/>
  <c r="AI69" i="1"/>
  <c r="AJ69" i="1"/>
  <c r="AK69" i="1"/>
  <c r="AA69" i="1"/>
  <c r="I69" i="1"/>
  <c r="C69" i="1"/>
  <c r="F69" i="1"/>
  <c r="AK68" i="1"/>
  <c r="AA68" i="1"/>
  <c r="I68" i="1"/>
  <c r="C68" i="1"/>
  <c r="F68" i="1"/>
  <c r="AK67" i="1"/>
  <c r="AA67" i="1"/>
  <c r="C67" i="1"/>
  <c r="F67" i="1"/>
  <c r="AK66" i="1"/>
  <c r="AA66" i="1"/>
  <c r="I66" i="1"/>
  <c r="C66" i="1"/>
  <c r="F66" i="1"/>
  <c r="AK65" i="1"/>
  <c r="AA65" i="1"/>
  <c r="I65" i="1"/>
  <c r="C65" i="1"/>
  <c r="F65" i="1"/>
  <c r="AH64" i="1"/>
  <c r="AI64" i="1"/>
  <c r="AJ64" i="1"/>
  <c r="AK64" i="1"/>
  <c r="AA64" i="1"/>
  <c r="I64" i="1"/>
  <c r="C64" i="1"/>
  <c r="F64" i="1"/>
  <c r="AK63" i="1"/>
  <c r="AA63" i="1"/>
  <c r="AK62" i="1"/>
  <c r="AA62" i="1"/>
  <c r="I62" i="1"/>
  <c r="C62" i="1"/>
  <c r="F62" i="1"/>
  <c r="AK61" i="1"/>
  <c r="AA61" i="1"/>
  <c r="I61" i="1"/>
  <c r="AK60" i="1"/>
  <c r="AA60" i="1"/>
  <c r="I60" i="1"/>
  <c r="AK59" i="1"/>
  <c r="AA59" i="1"/>
  <c r="AH58" i="1"/>
  <c r="AI58" i="1"/>
  <c r="AJ58" i="1"/>
  <c r="AK58" i="1"/>
  <c r="AA58" i="1"/>
  <c r="AH57" i="1"/>
  <c r="AI57" i="1"/>
  <c r="AJ57" i="1"/>
  <c r="AK57" i="1"/>
  <c r="AA57" i="1"/>
  <c r="AK56" i="1"/>
  <c r="AA56" i="1"/>
  <c r="AK55" i="1"/>
  <c r="AA55" i="1"/>
  <c r="AK54" i="1"/>
  <c r="AA54" i="1"/>
  <c r="K32" i="1"/>
  <c r="K30" i="1"/>
  <c r="L30" i="1"/>
  <c r="M30" i="1"/>
  <c r="N30" i="1"/>
  <c r="K31" i="1"/>
  <c r="K33" i="1"/>
  <c r="L32" i="1"/>
  <c r="L31" i="1"/>
  <c r="L33" i="1"/>
  <c r="M32" i="1"/>
  <c r="M31" i="1"/>
  <c r="M33" i="1"/>
  <c r="N33" i="1"/>
  <c r="E31" i="1"/>
  <c r="C31" i="1"/>
  <c r="F31" i="1"/>
  <c r="E32" i="1"/>
  <c r="C32" i="1"/>
  <c r="F32" i="1"/>
  <c r="C33" i="1"/>
  <c r="F33" i="1"/>
  <c r="E37" i="1"/>
  <c r="F37" i="1"/>
  <c r="E38" i="1"/>
  <c r="C38" i="1"/>
  <c r="F38" i="1"/>
  <c r="E39" i="1"/>
  <c r="F39" i="1"/>
  <c r="E40" i="1"/>
  <c r="F40" i="1"/>
  <c r="E41" i="1"/>
  <c r="F41" i="1"/>
  <c r="E42" i="1"/>
  <c r="F42" i="1"/>
  <c r="F43" i="1"/>
  <c r="F44" i="1"/>
  <c r="E45" i="1"/>
  <c r="F45" i="1"/>
  <c r="E46" i="1"/>
  <c r="F46" i="1"/>
  <c r="F49" i="1"/>
  <c r="F51" i="1"/>
  <c r="F53" i="1"/>
  <c r="E22" i="1"/>
  <c r="F54" i="1"/>
  <c r="AK53" i="1"/>
  <c r="AA53" i="1"/>
  <c r="G53" i="1"/>
  <c r="AK52" i="1"/>
  <c r="AA52" i="1"/>
  <c r="N52" i="1"/>
  <c r="M52" i="1"/>
  <c r="L52" i="1"/>
  <c r="K52" i="1"/>
  <c r="I52" i="1"/>
  <c r="G49" i="1"/>
  <c r="G51" i="1"/>
  <c r="G52" i="1"/>
  <c r="AK51" i="1"/>
  <c r="AA51" i="1"/>
  <c r="AH47" i="1"/>
  <c r="AI47" i="1"/>
  <c r="AJ47" i="1"/>
  <c r="AK47" i="1"/>
  <c r="AA47" i="1"/>
  <c r="G47" i="1"/>
  <c r="B47" i="1"/>
  <c r="AK46" i="1"/>
  <c r="AA46" i="1"/>
  <c r="AK45" i="1"/>
  <c r="AA45" i="1"/>
  <c r="AK44" i="1"/>
  <c r="AA44" i="1"/>
  <c r="AK43" i="1"/>
  <c r="AA43" i="1"/>
  <c r="AK42" i="1"/>
  <c r="AA42" i="1"/>
  <c r="AK41" i="1"/>
  <c r="AA41" i="1"/>
  <c r="G41" i="1"/>
  <c r="AK40" i="1"/>
  <c r="AA40" i="1"/>
  <c r="AK39" i="1"/>
  <c r="AA39" i="1"/>
  <c r="AK38" i="1"/>
  <c r="AA38" i="1"/>
  <c r="AK37" i="1"/>
  <c r="AA37" i="1"/>
  <c r="C36" i="1"/>
  <c r="C34" i="1"/>
  <c r="AK33" i="1"/>
  <c r="AA33" i="1"/>
  <c r="AK32" i="1"/>
  <c r="AA32" i="1"/>
  <c r="AK31" i="1"/>
  <c r="AA31" i="1"/>
  <c r="AK30" i="1"/>
  <c r="AA30" i="1"/>
  <c r="I30" i="1"/>
  <c r="J30" i="1"/>
  <c r="AK29" i="1"/>
  <c r="AA29" i="1"/>
  <c r="G14" i="1"/>
  <c r="G15" i="1"/>
  <c r="G16" i="1"/>
  <c r="G17" i="1"/>
  <c r="G18" i="1"/>
  <c r="G19" i="1"/>
  <c r="G20" i="1"/>
  <c r="C24" i="1"/>
  <c r="C26" i="1"/>
  <c r="AA24" i="1"/>
  <c r="AA23" i="1"/>
  <c r="AA22" i="1"/>
  <c r="H14" i="1"/>
  <c r="P14" i="1"/>
  <c r="H15" i="1"/>
  <c r="P15" i="1"/>
  <c r="H16" i="1"/>
  <c r="P16" i="1"/>
  <c r="H17" i="1"/>
  <c r="P17" i="1"/>
  <c r="H18" i="1"/>
  <c r="P18" i="1"/>
  <c r="H19" i="1"/>
  <c r="P19" i="1"/>
  <c r="H20" i="1"/>
  <c r="P20" i="1"/>
  <c r="P22" i="1"/>
  <c r="O14" i="1"/>
  <c r="O15" i="1"/>
  <c r="O16" i="1"/>
  <c r="O17" i="1"/>
  <c r="O18" i="1"/>
  <c r="O19" i="1"/>
  <c r="O20" i="1"/>
  <c r="O22" i="1"/>
  <c r="N22" i="1"/>
  <c r="L14" i="1"/>
  <c r="L15" i="1"/>
  <c r="L16" i="1"/>
  <c r="L17" i="1"/>
  <c r="L18" i="1"/>
  <c r="L19" i="1"/>
  <c r="L20" i="1"/>
  <c r="L22" i="1"/>
  <c r="K14" i="1"/>
  <c r="K15" i="1"/>
  <c r="K16" i="1"/>
  <c r="K17" i="1"/>
  <c r="K18" i="1"/>
  <c r="K19" i="1"/>
  <c r="K20" i="1"/>
  <c r="K22" i="1"/>
  <c r="J22" i="1"/>
  <c r="I14" i="1"/>
  <c r="I15" i="1"/>
  <c r="I16" i="1"/>
  <c r="I17" i="1"/>
  <c r="I18" i="1"/>
  <c r="I19" i="1"/>
  <c r="I20" i="1"/>
  <c r="I22" i="1"/>
  <c r="B22" i="1"/>
  <c r="AK21" i="1"/>
  <c r="AA21" i="1"/>
  <c r="AK20" i="1"/>
  <c r="AA20" i="1"/>
  <c r="AK19" i="1"/>
  <c r="AA19" i="1"/>
  <c r="AK18" i="1"/>
  <c r="AA18" i="1"/>
  <c r="AK17" i="1"/>
  <c r="AA17" i="1"/>
  <c r="AA16" i="1"/>
  <c r="AA15" i="1"/>
  <c r="AA14" i="1"/>
  <c r="AA13" i="1"/>
  <c r="AA12" i="1"/>
  <c r="AK11" i="1"/>
  <c r="AA11" i="1"/>
  <c r="AK10" i="1"/>
  <c r="AA10" i="1"/>
  <c r="L207" i="2"/>
  <c r="L208" i="2"/>
  <c r="L209" i="2"/>
  <c r="L210" i="2"/>
  <c r="L211" i="2"/>
  <c r="L212" i="2"/>
  <c r="L213" i="2"/>
  <c r="L214" i="2"/>
  <c r="L215" i="2"/>
  <c r="L216" i="2"/>
  <c r="L220" i="2"/>
  <c r="L185" i="2"/>
  <c r="L186" i="2"/>
  <c r="L187" i="2"/>
  <c r="L188" i="2"/>
  <c r="L189" i="2"/>
  <c r="L190" i="2"/>
  <c r="L191" i="2"/>
  <c r="D192" i="2"/>
  <c r="L192" i="2"/>
  <c r="D193" i="2"/>
  <c r="L193" i="2"/>
  <c r="L195" i="2"/>
  <c r="N218" i="2"/>
  <c r="N220" i="2"/>
  <c r="M185" i="2"/>
  <c r="M186" i="2"/>
  <c r="M187" i="2"/>
  <c r="M188" i="2"/>
  <c r="M189" i="2"/>
  <c r="M190" i="2"/>
  <c r="M191" i="2"/>
  <c r="M192" i="2"/>
  <c r="M193" i="2"/>
  <c r="M195" i="2"/>
  <c r="M218" i="2"/>
  <c r="M220" i="2"/>
  <c r="G185" i="2"/>
  <c r="K185" i="2"/>
  <c r="G186" i="2"/>
  <c r="K186" i="2"/>
  <c r="G187" i="2"/>
  <c r="K187" i="2"/>
  <c r="G188" i="2"/>
  <c r="K188" i="2"/>
  <c r="G189" i="2"/>
  <c r="K189" i="2"/>
  <c r="G190" i="2"/>
  <c r="K190" i="2"/>
  <c r="G191" i="2"/>
  <c r="K191" i="2"/>
  <c r="K195" i="2"/>
  <c r="J195" i="2"/>
  <c r="I195" i="2"/>
  <c r="H185" i="2"/>
  <c r="H186" i="2"/>
  <c r="H187" i="2"/>
  <c r="H188" i="2"/>
  <c r="H189" i="2"/>
  <c r="H190" i="2"/>
  <c r="H191" i="2"/>
  <c r="G192" i="2"/>
  <c r="H192" i="2"/>
  <c r="G193" i="2"/>
  <c r="H193" i="2"/>
  <c r="H195" i="2"/>
  <c r="AP77" i="2"/>
  <c r="AP76" i="2"/>
  <c r="AP75" i="2"/>
  <c r="H14" i="2"/>
  <c r="H15" i="2"/>
  <c r="H16" i="2"/>
  <c r="H17" i="2"/>
  <c r="H18" i="2"/>
  <c r="H19" i="2"/>
  <c r="H20" i="2"/>
  <c r="E22" i="2"/>
  <c r="B22" i="2"/>
  <c r="AP31" i="2"/>
  <c r="AP32" i="2"/>
  <c r="V30" i="2"/>
  <c r="V31" i="2"/>
  <c r="V32" i="2"/>
  <c r="V34" i="2"/>
  <c r="AP34" i="2"/>
  <c r="V35" i="2"/>
  <c r="AP35" i="2"/>
  <c r="I30" i="2"/>
  <c r="E47" i="2"/>
  <c r="J30" i="2"/>
  <c r="F53" i="2"/>
  <c r="AT342" i="2"/>
  <c r="AU342" i="2"/>
  <c r="AE342" i="2"/>
  <c r="P31" i="2"/>
</calcChain>
</file>

<file path=xl/sharedStrings.xml><?xml version="1.0" encoding="utf-8"?>
<sst xmlns="http://schemas.openxmlformats.org/spreadsheetml/2006/main" count="1057" uniqueCount="511">
  <si>
    <t>RTT</t>
  </si>
  <si>
    <t>Haul Time hours</t>
  </si>
  <si>
    <t>RTD</t>
  </si>
  <si>
    <t>miles</t>
  </si>
  <si>
    <t xml:space="preserve">N </t>
  </si>
  <si>
    <t>Camp Days</t>
  </si>
  <si>
    <t>NGV</t>
  </si>
  <si>
    <t>Total net Volume MBF</t>
  </si>
  <si>
    <t>TCGV</t>
  </si>
  <si>
    <t>Total Gross Vol MBF</t>
  </si>
  <si>
    <t xml:space="preserve">Base Year </t>
  </si>
  <si>
    <t>2Q09</t>
    <phoneticPr fontId="3" type="noConversion"/>
  </si>
  <si>
    <t>updated</t>
    <phoneticPr fontId="3" type="noConversion"/>
  </si>
  <si>
    <t>Mod</t>
    <phoneticPr fontId="3" type="noConversion"/>
  </si>
  <si>
    <t>view</t>
    <phoneticPr fontId="3" type="noConversion"/>
  </si>
  <si>
    <t>TM</t>
    <phoneticPr fontId="3" type="noConversion"/>
  </si>
  <si>
    <t xml:space="preserve">Available volume  </t>
    <phoneticPr fontId="3" type="noConversion"/>
  </si>
  <si>
    <t>Draft</t>
    <phoneticPr fontId="3" type="noConversion"/>
  </si>
  <si>
    <t>He PLV</t>
    <phoneticPr fontId="3" type="noConversion"/>
  </si>
  <si>
    <t xml:space="preserve"> MBF/ac</t>
    <phoneticPr fontId="3" type="noConversion"/>
  </si>
  <si>
    <t>yrd</t>
  </si>
  <si>
    <t>Avail</t>
    <phoneticPr fontId="3" type="noConversion"/>
  </si>
  <si>
    <t>Acres</t>
  </si>
  <si>
    <t>MBF</t>
  </si>
  <si>
    <t>MBF/</t>
  </si>
  <si>
    <t>sys</t>
  </si>
  <si>
    <t>MBF</t>
    <phoneticPr fontId="3" type="noConversion"/>
  </si>
  <si>
    <t>Road</t>
  </si>
  <si>
    <t>Recon</t>
  </si>
  <si>
    <t>Total cost</t>
  </si>
  <si>
    <t>Return/</t>
    <phoneticPr fontId="3" type="noConversion"/>
  </si>
  <si>
    <t>Return</t>
    <phoneticPr fontId="3" type="noConversion"/>
  </si>
  <si>
    <t xml:space="preserve">Unit </t>
  </si>
  <si>
    <t>high</t>
  </si>
  <si>
    <t>Med</t>
    <phoneticPr fontId="3" type="noConversion"/>
  </si>
  <si>
    <t>low</t>
    <phoneticPr fontId="3" type="noConversion"/>
  </si>
  <si>
    <t>Total</t>
  </si>
  <si>
    <t xml:space="preserve"> acre</t>
  </si>
  <si>
    <t>c</t>
  </si>
  <si>
    <t>pc</t>
    <phoneticPr fontId="3" type="noConversion"/>
  </si>
  <si>
    <t>h</t>
  </si>
  <si>
    <t>Total</t>
    <phoneticPr fontId="3" type="noConversion"/>
  </si>
  <si>
    <t>Miles</t>
  </si>
  <si>
    <t>cost</t>
  </si>
  <si>
    <t>per unit</t>
  </si>
  <si>
    <t>Road</t>
    <phoneticPr fontId="3" type="noConversion"/>
  </si>
  <si>
    <t>AMT</t>
    <phoneticPr fontId="3" type="noConversion"/>
  </si>
  <si>
    <t>Margin $</t>
  </si>
  <si>
    <t>Margin%</t>
  </si>
  <si>
    <t>$ amt</t>
    <phoneticPr fontId="3" type="noConversion"/>
  </si>
  <si>
    <t xml:space="preserve">Low </t>
    <phoneticPr fontId="3" type="noConversion"/>
  </si>
  <si>
    <t>Low SV</t>
    <phoneticPr fontId="3" type="noConversion"/>
  </si>
  <si>
    <t>Low PLV</t>
    <phoneticPr fontId="3" type="noConversion"/>
  </si>
  <si>
    <t>med</t>
    <phoneticPr fontId="3" type="noConversion"/>
  </si>
  <si>
    <t>Med $ SV</t>
    <phoneticPr fontId="3" type="noConversion"/>
  </si>
  <si>
    <t>Med PLV</t>
    <phoneticPr fontId="3" type="noConversion"/>
  </si>
  <si>
    <t>Selling Value</t>
  </si>
  <si>
    <t>$/MBF</t>
  </si>
  <si>
    <t>AMT</t>
  </si>
  <si>
    <t>SPP MBF</t>
    <phoneticPr fontId="3" type="noConversion"/>
  </si>
  <si>
    <t>Manf. Cost</t>
  </si>
  <si>
    <t>Manf ave</t>
  </si>
  <si>
    <t>PLV</t>
  </si>
  <si>
    <t>PLV wt</t>
    <phoneticPr fontId="3" type="noConversion"/>
  </si>
  <si>
    <t xml:space="preserve">Spruce </t>
  </si>
  <si>
    <t>Hemlock</t>
  </si>
  <si>
    <t>Red Cedar</t>
  </si>
  <si>
    <t>RC ex</t>
  </si>
  <si>
    <t>AYC</t>
  </si>
  <si>
    <t>export s</t>
  </si>
  <si>
    <t>export h</t>
  </si>
  <si>
    <t>Average</t>
  </si>
  <si>
    <t>Hel Hi Gr PLV</t>
    <phoneticPr fontId="3" type="noConversion"/>
  </si>
  <si>
    <t>Return to Log</t>
  </si>
  <si>
    <t>Use cable</t>
    <phoneticPr fontId="3" type="noConversion"/>
  </si>
  <si>
    <t>Cable CC</t>
  </si>
  <si>
    <t>Cable PC</t>
    <phoneticPr fontId="3" type="noConversion"/>
  </si>
  <si>
    <t>Helo</t>
  </si>
  <si>
    <t>Logging cost</t>
  </si>
  <si>
    <r>
      <t>RTT</t>
    </r>
    <r>
      <rPr>
        <i/>
        <sz val="10"/>
        <color indexed="8"/>
        <rFont val="Arial"/>
        <family val="2"/>
      </rPr>
      <t xml:space="preserve">= round trip time (in hours); </t>
    </r>
    <r>
      <rPr>
        <b/>
        <i/>
        <sz val="10"/>
        <color indexed="8"/>
        <rFont val="Arial"/>
        <family val="2"/>
      </rPr>
      <t>RTD</t>
    </r>
    <r>
      <rPr>
        <i/>
        <sz val="10"/>
        <color indexed="8"/>
        <rFont val="Arial"/>
        <family val="2"/>
      </rPr>
      <t xml:space="preserve">= round trip distance (in tow statute miles);  </t>
    </r>
    <r>
      <rPr>
        <b/>
        <i/>
        <sz val="10"/>
        <color indexed="8"/>
        <rFont val="Arial"/>
        <family val="2"/>
      </rPr>
      <t>Long span</t>
    </r>
    <r>
      <rPr>
        <i/>
        <sz val="10"/>
        <color indexed="8"/>
        <rFont val="Arial"/>
        <family val="2"/>
      </rPr>
      <t xml:space="preserve"> = longest yarding distance is more than 1300 ft</t>
    </r>
  </si>
  <si>
    <r>
      <t xml:space="preserve">Young Growth </t>
    </r>
    <r>
      <rPr>
        <sz val="12"/>
        <rFont val="Arial"/>
        <family val="2"/>
      </rPr>
      <t>(Less Than 100 years)</t>
    </r>
    <r>
      <rPr>
        <b/>
        <sz val="12"/>
        <rFont val="Arial"/>
        <family val="2"/>
      </rPr>
      <t xml:space="preserve"> Stump-to-Truck Cost Estimator</t>
    </r>
  </si>
  <si>
    <t>Most long corners under 1000 ft.</t>
  </si>
  <si>
    <r>
      <t xml:space="preserve">Stump-to-truck cost, $/ net Mbf     </t>
    </r>
    <r>
      <rPr>
        <sz val="10"/>
        <rFont val="Verdana"/>
      </rPr>
      <t xml:space="preserve">  (includes fell-yard-load and OH)</t>
    </r>
  </si>
  <si>
    <t>Average tree volume must be 200-450 bf</t>
  </si>
  <si>
    <r>
      <t xml:space="preserve">THINNING - GROUND-BASED SKIDDING </t>
    </r>
    <r>
      <rPr>
        <sz val="10"/>
        <rFont val="Verdana"/>
      </rPr>
      <t>(i.e., feller-buncher-shovel-harvester-forwarder)</t>
    </r>
  </si>
  <si>
    <t>med</t>
    <phoneticPr fontId="3" type="noConversion"/>
  </si>
  <si>
    <t>low</t>
    <phoneticPr fontId="3" type="noConversion"/>
  </si>
  <si>
    <t>PC Cable</t>
    <phoneticPr fontId="3" type="noConversion"/>
  </si>
  <si>
    <t>high</t>
    <phoneticPr fontId="3" type="noConversion"/>
  </si>
  <si>
    <t>med</t>
    <phoneticPr fontId="3" type="noConversion"/>
  </si>
  <si>
    <t>low</t>
    <phoneticPr fontId="3" type="noConversion"/>
  </si>
  <si>
    <t>Cable shov PC</t>
    <phoneticPr fontId="3" type="noConversion"/>
  </si>
  <si>
    <t>shovel CC</t>
    <phoneticPr fontId="3" type="noConversion"/>
  </si>
  <si>
    <t>high</t>
    <phoneticPr fontId="3" type="noConversion"/>
  </si>
  <si>
    <t>med</t>
    <phoneticPr fontId="3" type="noConversion"/>
  </si>
  <si>
    <t>low</t>
    <phoneticPr fontId="3" type="noConversion"/>
  </si>
  <si>
    <t>shovel PC</t>
    <phoneticPr fontId="3" type="noConversion"/>
  </si>
  <si>
    <t>med</t>
    <phoneticPr fontId="3" type="noConversion"/>
  </si>
  <si>
    <t>low</t>
    <phoneticPr fontId="3" type="noConversion"/>
  </si>
  <si>
    <t>Helicopter</t>
    <phoneticPr fontId="3" type="noConversion"/>
  </si>
  <si>
    <t>Medium</t>
    <phoneticPr fontId="3" type="noConversion"/>
  </si>
  <si>
    <t>USFS</t>
    <phoneticPr fontId="3" type="noConversion"/>
  </si>
  <si>
    <t>Low</t>
    <phoneticPr fontId="3" type="noConversion"/>
  </si>
  <si>
    <t>MBF/mi</t>
  </si>
  <si>
    <t>USFS</t>
    <phoneticPr fontId="3" type="noConversion"/>
  </si>
  <si>
    <t>2nd qtr 11</t>
    <phoneticPr fontId="3" type="noConversion"/>
  </si>
  <si>
    <t>updated</t>
    <phoneticPr fontId="3" type="noConversion"/>
  </si>
  <si>
    <t>Export</t>
    <phoneticPr fontId="3" type="noConversion"/>
  </si>
  <si>
    <t>SPP% exp</t>
    <phoneticPr fontId="3" type="noConversion"/>
  </si>
  <si>
    <t>SPP%DOM</t>
    <phoneticPr fontId="19" type="noConversion"/>
  </si>
  <si>
    <t>Domestic</t>
    <phoneticPr fontId="3" type="noConversion"/>
  </si>
  <si>
    <t>SV Exp</t>
    <phoneticPr fontId="3" type="noConversion"/>
  </si>
  <si>
    <t>SV Dom</t>
    <phoneticPr fontId="3" type="noConversion"/>
  </si>
  <si>
    <t>yg export s</t>
    <phoneticPr fontId="3" type="noConversion"/>
  </si>
  <si>
    <t>yg export h</t>
    <phoneticPr fontId="3" type="noConversion"/>
  </si>
  <si>
    <t>PLV</t>
    <phoneticPr fontId="3" type="noConversion"/>
  </si>
  <si>
    <t>Logging Cost</t>
    <phoneticPr fontId="3" type="noConversion"/>
  </si>
  <si>
    <t>Cost</t>
    <phoneticPr fontId="3" type="noConversion"/>
  </si>
  <si>
    <t>USFS</t>
    <phoneticPr fontId="3" type="noConversion"/>
  </si>
  <si>
    <t>System %</t>
    <phoneticPr fontId="3" type="noConversion"/>
  </si>
  <si>
    <t>Cost/MBF</t>
    <phoneticPr fontId="3" type="noConversion"/>
  </si>
  <si>
    <t>acres</t>
  </si>
  <si>
    <t>MBF/ac</t>
  </si>
  <si>
    <t>MBF</t>
    <phoneticPr fontId="3" type="noConversion"/>
  </si>
  <si>
    <t>Total</t>
    <phoneticPr fontId="3" type="noConversion"/>
  </si>
  <si>
    <t>F&amp;B</t>
  </si>
  <si>
    <t>%</t>
    <phoneticPr fontId="3" type="noConversion"/>
  </si>
  <si>
    <t>SV</t>
    <phoneticPr fontId="3" type="noConversion"/>
  </si>
  <si>
    <t>Cable Partial</t>
  </si>
  <si>
    <t>wt SV</t>
    <phoneticPr fontId="3" type="noConversion"/>
  </si>
  <si>
    <t>Long Span</t>
  </si>
  <si>
    <t>Shovel CC</t>
  </si>
  <si>
    <t>Shovel PC</t>
  </si>
  <si>
    <t>Helicopter</t>
  </si>
  <si>
    <t xml:space="preserve">Haul </t>
  </si>
  <si>
    <t>Dump Raft Tow</t>
  </si>
  <si>
    <t>Sort Scale</t>
  </si>
  <si>
    <t>Rd 0-20%</t>
    <phoneticPr fontId="3" type="noConversion"/>
  </si>
  <si>
    <t>Rd 20-40%</t>
    <phoneticPr fontId="3" type="noConversion"/>
  </si>
  <si>
    <t>Rd 40-55%</t>
    <phoneticPr fontId="3" type="noConversion"/>
  </si>
  <si>
    <t xml:space="preserve">Avg removed dbh = 10-14 in.; Avg removed tree vol = 30-100 bf;   </t>
  </si>
  <si>
    <t>Average adverse skidding grade, % (+)</t>
  </si>
  <si>
    <t xml:space="preserve">UT avg removed vol/ac =  6-12 Mbf,  Strips &amp; gaps avg removed vol/ac = 20-30 Mbf </t>
  </si>
  <si>
    <t>Log Dump</t>
  </si>
  <si>
    <t>CAMP</t>
  </si>
  <si>
    <t>Reconstruction</t>
  </si>
  <si>
    <t>Margin</t>
    <phoneticPr fontId="3" type="noConversion"/>
  </si>
  <si>
    <t>Total Log cost</t>
  </si>
  <si>
    <t>Delivered log cost</t>
    <phoneticPr fontId="3" type="noConversion"/>
  </si>
  <si>
    <t>Profit risk</t>
    <phoneticPr fontId="3" type="noConversion"/>
  </si>
  <si>
    <t>Trust Stumpage</t>
  </si>
  <si>
    <t>Trust Stumpage %</t>
  </si>
  <si>
    <t>Base Year 2006</t>
  </si>
  <si>
    <t>Logging Cost</t>
  </si>
  <si>
    <t>Reg average characteristics</t>
  </si>
  <si>
    <t>Use</t>
  </si>
  <si>
    <t>cable</t>
  </si>
  <si>
    <t>Average favorable skidding grade, % (-)</t>
  </si>
  <si>
    <t>UT: absolute MAX 150 leave tpa</t>
  </si>
  <si>
    <t>Area adverse skidding, acres</t>
  </si>
  <si>
    <t>Tops and limbs not removed from the forest</t>
  </si>
  <si>
    <t>Area favorable skidding, acres</t>
  </si>
  <si>
    <t>THINNING - CABLE YARDING</t>
  </si>
  <si>
    <t>Gaps:</t>
  </si>
  <si>
    <t>update</t>
  </si>
  <si>
    <t>SV</t>
  </si>
  <si>
    <t>Manf</t>
  </si>
  <si>
    <t>PRI</t>
  </si>
  <si>
    <t>CC</t>
  </si>
  <si>
    <t>MBF/log</t>
  </si>
  <si>
    <t>PC</t>
  </si>
  <si>
    <t>scale def</t>
  </si>
  <si>
    <t>PCMBF/ac</t>
  </si>
  <si>
    <t>shovel</t>
  </si>
  <si>
    <t>Haul</t>
  </si>
  <si>
    <t>Barging</t>
  </si>
  <si>
    <t>Camp</t>
  </si>
  <si>
    <t>HGV</t>
  </si>
  <si>
    <t>Haul Gross volume MBF</t>
  </si>
  <si>
    <t>AYD</t>
  </si>
  <si>
    <t>Strips:</t>
  </si>
  <si>
    <t>Uniform Thin</t>
  </si>
  <si>
    <t>No thin matrix</t>
  </si>
  <si>
    <t>Matrix thinned</t>
  </si>
  <si>
    <t>60 ft nowy</t>
  </si>
  <si>
    <t>20 ft nowy</t>
  </si>
  <si>
    <t>60 ft owy</t>
  </si>
  <si>
    <t>20 ft owy</t>
  </si>
  <si>
    <t xml:space="preserve">Deflection must be adequate: </t>
  </si>
  <si>
    <t>Uphill yarding= 0;  Downhill yarding= 1</t>
  </si>
  <si>
    <t>partial suspension uphill, full suspension downhill</t>
  </si>
  <si>
    <t>Number of leave tpa</t>
  </si>
  <si>
    <t>Not more than 150 leave tpa</t>
  </si>
  <si>
    <t>Number of take tpa</t>
  </si>
  <si>
    <r>
      <t xml:space="preserve">Av. </t>
    </r>
    <r>
      <rPr>
        <b/>
        <sz val="10"/>
        <rFont val="Arial"/>
        <family val="2"/>
      </rPr>
      <t>removed</t>
    </r>
    <r>
      <rPr>
        <sz val="10"/>
        <rFont val="Verdana"/>
      </rPr>
      <t xml:space="preserve"> dbh</t>
    </r>
  </si>
  <si>
    <t>Applicable to average dbh 10-14”</t>
  </si>
  <si>
    <r>
      <t xml:space="preserve">Av. </t>
    </r>
    <r>
      <rPr>
        <b/>
        <sz val="10"/>
        <rFont val="Arial"/>
        <family val="2"/>
      </rPr>
      <t>removed</t>
    </r>
    <r>
      <rPr>
        <sz val="10"/>
        <rFont val="Verdana"/>
      </rPr>
      <t xml:space="preserve"> tree volume, net bf</t>
    </r>
  </si>
  <si>
    <t>Applicable to average tree 30-100 bf</t>
  </si>
  <si>
    <t xml:space="preserve">Saddle Lakes </t>
    <phoneticPr fontId="3" type="noConversion"/>
  </si>
  <si>
    <t>Saddle lakes Scoping</t>
    <phoneticPr fontId="3" type="noConversion"/>
  </si>
  <si>
    <t>CC</t>
    <phoneticPr fontId="3" type="noConversion"/>
  </si>
  <si>
    <t>AVE Cost</t>
    <phoneticPr fontId="3" type="noConversion"/>
  </si>
  <si>
    <t>Domestic</t>
    <phoneticPr fontId="3" type="noConversion"/>
  </si>
  <si>
    <t>Export</t>
    <phoneticPr fontId="3" type="noConversion"/>
  </si>
  <si>
    <t>Cable PC</t>
    <phoneticPr fontId="3" type="noConversion"/>
  </si>
  <si>
    <t>Helo</t>
    <phoneticPr fontId="3" type="noConversion"/>
  </si>
  <si>
    <t>Cable CC</t>
    <phoneticPr fontId="3" type="noConversion"/>
  </si>
  <si>
    <t>MBF/ac CC</t>
    <phoneticPr fontId="3" type="noConversion"/>
  </si>
  <si>
    <t>YG shovel CC</t>
    <phoneticPr fontId="3" type="noConversion"/>
  </si>
  <si>
    <t>Profit</t>
    <phoneticPr fontId="3" type="noConversion"/>
  </si>
  <si>
    <t>YG cable CC</t>
    <phoneticPr fontId="3" type="noConversion"/>
  </si>
  <si>
    <t>F&amp;B</t>
    <phoneticPr fontId="3" type="noConversion"/>
  </si>
  <si>
    <t>Scaling Def</t>
    <phoneticPr fontId="3" type="noConversion"/>
  </si>
  <si>
    <t>Tongass Logging Costs (YG)</t>
  </si>
  <si>
    <t>Yarding (includes F&amp;B), $/MBF net</t>
  </si>
  <si>
    <t xml:space="preserve">: calculated in OFFICIAL R10 Logging Cost Calculator @ http://www.fs.fed.us/r10/ro/policy-reports/for_mgmt/ </t>
  </si>
  <si>
    <t>Haul, $/MBF net</t>
  </si>
  <si>
    <t>( RTT*76.5/3.5)/(1-.03)</t>
  </si>
  <si>
    <t>Barging $/MBF net</t>
  </si>
  <si>
    <t>((RTD/7.28+10)*300/208+24)/(1-.03)</t>
  </si>
  <si>
    <r>
      <t>N</t>
    </r>
    <r>
      <rPr>
        <i/>
        <sz val="10"/>
        <color indexed="8"/>
        <rFont val="Arial"/>
        <family val="2"/>
      </rPr>
      <t xml:space="preserve">= number of logging camp days (incl. helo); </t>
    </r>
    <r>
      <rPr>
        <b/>
        <i/>
        <sz val="10"/>
        <color indexed="8"/>
        <rFont val="Arial"/>
        <family val="2"/>
      </rPr>
      <t>TCGV</t>
    </r>
    <r>
      <rPr>
        <i/>
        <sz val="10"/>
        <color indexed="8"/>
        <rFont val="Arial"/>
        <family val="2"/>
      </rPr>
      <t xml:space="preserve">= total conventional gross volume; </t>
    </r>
    <r>
      <rPr>
        <b/>
        <i/>
        <sz val="10"/>
        <color indexed="8"/>
        <rFont val="Arial"/>
        <family val="2"/>
      </rPr>
      <t>TNV</t>
    </r>
    <r>
      <rPr>
        <i/>
        <sz val="10"/>
        <color indexed="8"/>
        <rFont val="Arial"/>
        <family val="2"/>
      </rPr>
      <t xml:space="preserve">= total net volume; </t>
    </r>
    <r>
      <rPr>
        <b/>
        <i/>
        <sz val="10"/>
        <color indexed="8"/>
        <rFont val="Arial"/>
        <family val="2"/>
      </rPr>
      <t>sd</t>
    </r>
    <r>
      <rPr>
        <i/>
        <sz val="10"/>
        <color indexed="8"/>
        <rFont val="Arial"/>
        <family val="2"/>
      </rPr>
      <t>= avg cruise scaling defect (2 decimal places);</t>
    </r>
  </si>
  <si>
    <r>
      <t xml:space="preserve"> </t>
    </r>
    <r>
      <rPr>
        <b/>
        <i/>
        <sz val="10"/>
        <color indexed="8"/>
        <rFont val="Arial"/>
        <family val="2"/>
      </rPr>
      <t>sps</t>
    </r>
    <r>
      <rPr>
        <i/>
        <sz val="10"/>
        <color indexed="8"/>
        <rFont val="Arial"/>
        <family val="2"/>
      </rPr>
      <t xml:space="preserve">= Scrib avg piece size (in gross mbf); </t>
    </r>
    <r>
      <rPr>
        <b/>
        <i/>
        <sz val="10"/>
        <color indexed="8"/>
        <rFont val="Arial"/>
        <family val="2"/>
      </rPr>
      <t>svpa</t>
    </r>
    <r>
      <rPr>
        <i/>
        <sz val="10"/>
        <color indexed="8"/>
        <rFont val="Arial"/>
        <family val="2"/>
      </rPr>
      <t xml:space="preserve">= Scrib avg vol per acre (in gross mbf); </t>
    </r>
    <r>
      <rPr>
        <b/>
        <i/>
        <sz val="10"/>
        <color indexed="8"/>
        <rFont val="Arial"/>
        <family val="2"/>
      </rPr>
      <t>AYD</t>
    </r>
    <r>
      <rPr>
        <i/>
        <sz val="10"/>
        <color indexed="8"/>
        <rFont val="Arial"/>
        <family val="2"/>
      </rPr>
      <t>= avg yarding distance (in feet)</t>
    </r>
  </si>
  <si>
    <t>Mod OGR</t>
    <phoneticPr fontId="3" type="noConversion"/>
  </si>
  <si>
    <t>2/14/11  IP</t>
  </si>
  <si>
    <t xml:space="preserve">Contact:  </t>
  </si>
  <si>
    <t>Inga Petaisto 907-586-7882</t>
  </si>
  <si>
    <t>Data Input</t>
  </si>
  <si>
    <t>ipetaisto@fs.fed.us</t>
  </si>
  <si>
    <t>Calculated</t>
  </si>
  <si>
    <t>Not needed in formula</t>
  </si>
  <si>
    <t>Caveats</t>
  </si>
  <si>
    <t>Hidden OH factor</t>
  </si>
  <si>
    <t xml:space="preserve">CLEARCUT </t>
  </si>
  <si>
    <t>Shovel</t>
  </si>
  <si>
    <t>Cable</t>
  </si>
  <si>
    <t>Mean tree volume, net bf</t>
  </si>
  <si>
    <r>
      <t xml:space="preserve">Average </t>
    </r>
    <r>
      <rPr>
        <b/>
        <sz val="10"/>
        <rFont val="Arial"/>
        <family val="2"/>
      </rPr>
      <t>removed</t>
    </r>
    <r>
      <rPr>
        <sz val="10"/>
        <rFont val="Verdana"/>
      </rPr>
      <t xml:space="preserve"> dbh, in.</t>
    </r>
  </si>
  <si>
    <t>Not over 35% slope</t>
  </si>
  <si>
    <t>Average skidding distance, feet</t>
  </si>
  <si>
    <t>high</t>
    <phoneticPr fontId="3" type="noConversion"/>
  </si>
  <si>
    <t>Use</t>
    <phoneticPr fontId="3" type="noConversion"/>
  </si>
  <si>
    <t>USFS</t>
    <phoneticPr fontId="3" type="noConversion"/>
  </si>
  <si>
    <t>CC Cable</t>
    <phoneticPr fontId="3" type="noConversion"/>
  </si>
  <si>
    <t>high</t>
    <phoneticPr fontId="3" type="noConversion"/>
  </si>
  <si>
    <t xml:space="preserve">   R10 RV Bulletin    2409.22</t>
  </si>
  <si>
    <t xml:space="preserve">Contact: Inga Petaisto 907-586-7882   </t>
  </si>
  <si>
    <t xml:space="preserve"> ipetaisto@fs.fed.us</t>
  </si>
  <si>
    <t>Chapter 100&amp;200</t>
  </si>
  <si>
    <t>Selling Values, Manufacturing Costs, Logging Costs, and Profit and Risk</t>
  </si>
  <si>
    <t>Issue Date:</t>
  </si>
  <si>
    <t>Base Year</t>
  </si>
  <si>
    <t>Species Product</t>
  </si>
  <si>
    <t>Tongass End-Product SV (with by-product) fob AK, MLS</t>
  </si>
  <si>
    <t>Tongass NF Manufacturing or Export Handling Costs, MLS</t>
  </si>
  <si>
    <t>SS Sawn (OG)</t>
  </si>
  <si>
    <t>Hemlock Sawn (OG)</t>
  </si>
  <si>
    <t>WRC Sawn (OG)</t>
  </si>
  <si>
    <t>SS LT18 Foreign Market Log Sales (OG)</t>
  </si>
  <si>
    <t>Hem LT20 Foreign Market Log Sales (OG)</t>
  </si>
  <si>
    <t>AYC Foreign Market Log Sales</t>
  </si>
  <si>
    <t>WRC Lower 48 Log Sales</t>
  </si>
  <si>
    <t>SS Foreign Market Log Sales (YG)</t>
  </si>
  <si>
    <t>Hem Foreign Market Log Sales (YG)</t>
  </si>
  <si>
    <t>Average sawn mfg cost</t>
  </si>
  <si>
    <t>Tongass Logging Costs (OG)</t>
  </si>
  <si>
    <t>Fall&amp;Buck Conventional, $/MBF net</t>
  </si>
  <si>
    <t>48.62/(1-csd)</t>
  </si>
  <si>
    <t>Short Span Cable CC, $/MBF net</t>
  </si>
  <si>
    <t>(1016/((2.39+23.61*sps)*svpa/(svpa+7.08+15.75*sps))+(19475/TCGV))/(1-.142)</t>
  </si>
  <si>
    <t>Short Span Cable PC, $/MBF net</t>
  </si>
  <si>
    <t>(1016*(6.27+(16.72+155.4*sps)/svpa)/(11.94+111*sps+0.096*svpa)+(19475/TCGV))/(1-.142)</t>
  </si>
  <si>
    <t>Long Span, $/MBF net</t>
  </si>
  <si>
    <t>(1016/((4586+45214*sps)*svpa/(11721+1586*svpa+12057*sps+ayd*svpa))+(19475/TCGV))/(1-.142)</t>
  </si>
  <si>
    <t>Shovel CC, $/MBF net</t>
  </si>
  <si>
    <t>((3028*(0.55+27*sps/svpa)/(sps*134.4))+(19475/TCGV))/(1-.142)</t>
  </si>
  <si>
    <t>Shovel PC, $/MBF net</t>
  </si>
  <si>
    <t>((2183*(0.66+40.5*sps/svpa)/(sps*89.6))+(19475/TCGV))/(1-.142)</t>
  </si>
  <si>
    <t>Helicopter (includes F&amp;B), $/MBF net</t>
  </si>
  <si>
    <t xml:space="preserve">: calculated in RV-FM appraisal (OG-Heli Input Pg 2)  @ http://www.fs.usda.gov/goto/r10/resources </t>
  </si>
  <si>
    <t>( RTT*86/4.7)/(1-.142)</t>
  </si>
  <si>
    <t>((RTD/7.48+10)*327/283+22)/(1-.142)</t>
  </si>
  <si>
    <t>Logging Camp $/MBF net</t>
  </si>
  <si>
    <t>(N*898+8595)/TNV</t>
  </si>
  <si>
    <t xml:space="preserve">: calculated in R10 Logging Cost Calculator @ http://www.fs.usda.gov/goto/r10/resources </t>
  </si>
  <si>
    <t>( RTT*86/3.5)/(1-.03)</t>
  </si>
  <si>
    <t>((RTD/7.48+10)*327/208+22)/(1-.03)</t>
  </si>
  <si>
    <r>
      <t>N</t>
    </r>
    <r>
      <rPr>
        <i/>
        <sz val="10"/>
        <color indexed="8"/>
        <rFont val="Arial"/>
        <family val="2"/>
      </rPr>
      <t xml:space="preserve">= number of logging camp days (incl. helo); </t>
    </r>
    <r>
      <rPr>
        <b/>
        <i/>
        <sz val="10"/>
        <color indexed="8"/>
        <rFont val="Arial"/>
        <family val="2"/>
      </rPr>
      <t>TCGV</t>
    </r>
    <r>
      <rPr>
        <i/>
        <sz val="10"/>
        <color indexed="8"/>
        <rFont val="Arial"/>
        <family val="2"/>
      </rPr>
      <t xml:space="preserve">= total conventional gross volume; </t>
    </r>
    <r>
      <rPr>
        <b/>
        <i/>
        <sz val="10"/>
        <color indexed="8"/>
        <rFont val="Arial"/>
        <family val="2"/>
      </rPr>
      <t>TNV</t>
    </r>
    <r>
      <rPr>
        <i/>
        <sz val="10"/>
        <color indexed="8"/>
        <rFont val="Arial"/>
        <family val="2"/>
      </rPr>
      <t xml:space="preserve">= total net volume; </t>
    </r>
    <r>
      <rPr>
        <b/>
        <i/>
        <sz val="10"/>
        <color indexed="8"/>
        <rFont val="Arial"/>
        <family val="2"/>
      </rPr>
      <t>csd</t>
    </r>
    <r>
      <rPr>
        <i/>
        <sz val="10"/>
        <color indexed="8"/>
        <rFont val="Arial"/>
        <family val="2"/>
      </rPr>
      <t>= avg cruise scaling defect (2 decimal places);</t>
    </r>
  </si>
  <si>
    <t>FSH 2409.22, Chapter 100 contract provision values:</t>
  </si>
  <si>
    <t>value:</t>
  </si>
  <si>
    <t>C(T)4.132# WRC Value for use with Price Quote</t>
  </si>
  <si>
    <t>per MBF net</t>
  </si>
  <si>
    <t>C(T)4.131# WRC rebate amount</t>
  </si>
  <si>
    <t>C(T)4.13# AYC rebate amount</t>
  </si>
  <si>
    <t>C(T)4.132# WRC adj to A5 rates</t>
  </si>
  <si>
    <t>rate redetermination required</t>
  </si>
  <si>
    <t>C(T)4.134# SS and Hem Utility Value, use with Price Quote</t>
  </si>
  <si>
    <t>contract base rates per MBF net</t>
  </si>
  <si>
    <t>FSH 2409.22, Chapter 100, Section 150 Updates</t>
  </si>
  <si>
    <t>CY Year &amp; Qtr</t>
  </si>
  <si>
    <t>SV Update Factors</t>
  </si>
  <si>
    <t>P&amp;R Ratio</t>
  </si>
  <si>
    <t>Base Year Value</t>
  </si>
  <si>
    <t>Qtrly Value</t>
  </si>
  <si>
    <t>2012_Q4</t>
  </si>
  <si>
    <t>SS Sawn</t>
  </si>
  <si>
    <t xml:space="preserve"> </t>
  </si>
  <si>
    <t>Hemlock Sawn</t>
  </si>
  <si>
    <t>WRC Sawn</t>
  </si>
  <si>
    <t>WRC L48  Log Sales</t>
  </si>
  <si>
    <t>SHC</t>
  </si>
  <si>
    <t>SHP</t>
  </si>
  <si>
    <t>HEP</t>
  </si>
  <si>
    <t>Profit</t>
  </si>
  <si>
    <t>SSC</t>
  </si>
  <si>
    <t>SSP</t>
  </si>
  <si>
    <t>SLC</t>
  </si>
  <si>
    <t>HEC</t>
  </si>
  <si>
    <t>Base</t>
  </si>
  <si>
    <t xml:space="preserve">Card </t>
  </si>
  <si>
    <t>card</t>
  </si>
  <si>
    <t>Temp</t>
  </si>
  <si>
    <t>Cost</t>
  </si>
  <si>
    <t>Sys</t>
  </si>
  <si>
    <t>ML</t>
  </si>
  <si>
    <t>VS</t>
  </si>
  <si>
    <t>UA</t>
  </si>
  <si>
    <t>Advertised Rates</t>
  </si>
  <si>
    <t>Tot Cost AMT</t>
  </si>
  <si>
    <t>Road cost AMT</t>
  </si>
  <si>
    <t>System</t>
  </si>
  <si>
    <t>Changres to inprove Econ.</t>
  </si>
  <si>
    <t>Base 2013</t>
  </si>
  <si>
    <t>2nd Q 2015</t>
  </si>
  <si>
    <t>Base 2013 2nd 2015</t>
  </si>
  <si>
    <t>Haul Dist</t>
  </si>
  <si>
    <t>4750-955</t>
  </si>
  <si>
    <t>4750-956</t>
  </si>
  <si>
    <t>4750-957</t>
  </si>
  <si>
    <t>4750-958</t>
  </si>
  <si>
    <t>4750-959</t>
  </si>
  <si>
    <t>4750-960</t>
  </si>
  <si>
    <t>4750-961</t>
  </si>
  <si>
    <t>4750-962</t>
  </si>
  <si>
    <t>4750-964</t>
  </si>
  <si>
    <t>4750-965</t>
  </si>
  <si>
    <t>4750-966</t>
  </si>
  <si>
    <t>4750-967</t>
  </si>
  <si>
    <t>4750-968</t>
  </si>
  <si>
    <t>4750-969</t>
  </si>
  <si>
    <t>4750-970</t>
  </si>
  <si>
    <t>4760-503</t>
  </si>
  <si>
    <t>4760-504</t>
  </si>
  <si>
    <t>4760-505</t>
  </si>
  <si>
    <t>4760-506</t>
  </si>
  <si>
    <t>4760-507</t>
  </si>
  <si>
    <t>4760-509</t>
  </si>
  <si>
    <t>4760-512</t>
  </si>
  <si>
    <t>4760-513</t>
  </si>
  <si>
    <t>4760-516</t>
  </si>
  <si>
    <t>4760-517</t>
  </si>
  <si>
    <t>4760-519</t>
  </si>
  <si>
    <t>4760-547</t>
  </si>
  <si>
    <t>4770-521</t>
  </si>
  <si>
    <t>4770-523</t>
  </si>
  <si>
    <t>4770-526</t>
  </si>
  <si>
    <t>4770-527</t>
  </si>
  <si>
    <t>4770-528</t>
  </si>
  <si>
    <t>4770-529</t>
  </si>
  <si>
    <t>4770-530</t>
  </si>
  <si>
    <t>4770-531</t>
  </si>
  <si>
    <t>4770-534</t>
  </si>
  <si>
    <t>4770-535</t>
  </si>
  <si>
    <t>4770-543</t>
  </si>
  <si>
    <t>4770-548</t>
  </si>
  <si>
    <t>4770-550</t>
  </si>
  <si>
    <t>4770-551</t>
  </si>
  <si>
    <t>4770-552</t>
  </si>
  <si>
    <t>4770-553</t>
  </si>
  <si>
    <t>4770-554</t>
  </si>
  <si>
    <t>4770-555</t>
  </si>
  <si>
    <t>4770-556</t>
  </si>
  <si>
    <t>4770-557</t>
  </si>
  <si>
    <t>4770-558</t>
  </si>
  <si>
    <t>4770-560</t>
  </si>
  <si>
    <t>4770-561</t>
  </si>
  <si>
    <t>4770-562</t>
  </si>
  <si>
    <t>4770-563</t>
  </si>
  <si>
    <t>4770-564</t>
  </si>
  <si>
    <t>4770-565</t>
  </si>
  <si>
    <t>4770-566</t>
  </si>
  <si>
    <t>4770-567</t>
  </si>
  <si>
    <t>4770-569</t>
  </si>
  <si>
    <t>4770-572</t>
  </si>
  <si>
    <t>4770-574</t>
  </si>
  <si>
    <t>4770-575</t>
  </si>
  <si>
    <t>4770-576</t>
  </si>
  <si>
    <t>4770-577</t>
  </si>
  <si>
    <t>4770-578</t>
  </si>
  <si>
    <t>4770-579</t>
  </si>
  <si>
    <t>4770-580</t>
  </si>
  <si>
    <t>4770-972</t>
  </si>
  <si>
    <t>4780-515</t>
  </si>
  <si>
    <t>4780-602</t>
  </si>
  <si>
    <t>4780-603</t>
  </si>
  <si>
    <t>4780-604</t>
  </si>
  <si>
    <t>4780-605</t>
  </si>
  <si>
    <t>4780-606</t>
  </si>
  <si>
    <t>4780-607</t>
  </si>
  <si>
    <t>4780-608</t>
  </si>
  <si>
    <t>4780-609</t>
  </si>
  <si>
    <t>4780-610</t>
  </si>
  <si>
    <t>4780-612</t>
  </si>
  <si>
    <t>4780-616</t>
  </si>
  <si>
    <t>4780-619</t>
  </si>
  <si>
    <t>4780-620</t>
  </si>
  <si>
    <t>4780-622</t>
  </si>
  <si>
    <t>4780-623</t>
  </si>
  <si>
    <t>4780-624</t>
  </si>
  <si>
    <t>4780-638</t>
  </si>
  <si>
    <t>4780-642</t>
  </si>
  <si>
    <t>4780-649</t>
  </si>
  <si>
    <t>4780-650</t>
  </si>
  <si>
    <t>4780-656</t>
  </si>
  <si>
    <t>4780-657</t>
  </si>
  <si>
    <t>4780-658</t>
  </si>
  <si>
    <t>4780-659</t>
  </si>
  <si>
    <t>4780-665</t>
  </si>
  <si>
    <t>4780-666</t>
  </si>
  <si>
    <t>4780-667</t>
  </si>
  <si>
    <t>4780-672</t>
  </si>
  <si>
    <t>4780-677</t>
  </si>
  <si>
    <t>4780-678</t>
  </si>
  <si>
    <t>4780-682</t>
  </si>
  <si>
    <t>4780-690</t>
  </si>
  <si>
    <t>4790-701</t>
  </si>
  <si>
    <t>4790-704</t>
  </si>
  <si>
    <t>4790-705</t>
  </si>
  <si>
    <t>4790-710</t>
  </si>
  <si>
    <t>4790-711</t>
  </si>
  <si>
    <t>4790-713</t>
  </si>
  <si>
    <t>4790-714</t>
  </si>
  <si>
    <t>4790-715</t>
  </si>
  <si>
    <t>4790-716</t>
  </si>
  <si>
    <t>4790-717</t>
  </si>
  <si>
    <t>4790-720</t>
  </si>
  <si>
    <t>4790-721</t>
  </si>
  <si>
    <t>4790-722</t>
  </si>
  <si>
    <t>4790-723</t>
  </si>
  <si>
    <t>4790-724</t>
  </si>
  <si>
    <t>4790-725</t>
  </si>
  <si>
    <t>4790-728</t>
  </si>
  <si>
    <t>4790-731</t>
  </si>
  <si>
    <t>4790-733</t>
  </si>
  <si>
    <t>4800-799</t>
  </si>
  <si>
    <t>4800-803</t>
  </si>
  <si>
    <t>4800-804</t>
  </si>
  <si>
    <t>4800-805</t>
  </si>
  <si>
    <t>4800-806</t>
  </si>
  <si>
    <t>4800-807</t>
  </si>
  <si>
    <t>4800-808</t>
  </si>
  <si>
    <t>4800-811</t>
  </si>
  <si>
    <t>4800-812</t>
  </si>
  <si>
    <t>4800-814</t>
  </si>
  <si>
    <t>4800-815</t>
  </si>
  <si>
    <t>4800-816</t>
  </si>
  <si>
    <t>4800-817</t>
  </si>
  <si>
    <t>4800-818</t>
  </si>
  <si>
    <t>4800-820</t>
  </si>
  <si>
    <t>4800-825</t>
  </si>
  <si>
    <t>4800-827</t>
  </si>
  <si>
    <t>4800-828</t>
  </si>
  <si>
    <t>4800-830</t>
  </si>
  <si>
    <t>4800-833</t>
  </si>
  <si>
    <t>4800-834</t>
  </si>
  <si>
    <t>4800-835</t>
  </si>
  <si>
    <t>4800-836</t>
  </si>
  <si>
    <t>4800-837</t>
  </si>
  <si>
    <t>4800-849</t>
  </si>
  <si>
    <t>4800-850</t>
  </si>
  <si>
    <t>4800-852</t>
  </si>
  <si>
    <t>4800-854</t>
  </si>
  <si>
    <t>4800-855</t>
  </si>
  <si>
    <t>4800-856</t>
  </si>
  <si>
    <t>4800-864</t>
  </si>
  <si>
    <t>4800-865</t>
  </si>
  <si>
    <t>4800-866</t>
  </si>
  <si>
    <t>4800-874</t>
  </si>
  <si>
    <t>4800-875</t>
  </si>
  <si>
    <t>4800-879</t>
  </si>
  <si>
    <t xml:space="preserve">Wrangell 10 yr </t>
  </si>
  <si>
    <t>4760-524</t>
  </si>
  <si>
    <t>4800-846</t>
  </si>
  <si>
    <t>4800-848</t>
  </si>
  <si>
    <t>4790-736</t>
  </si>
  <si>
    <t xml:space="preserve">TLMP </t>
  </si>
  <si>
    <t xml:space="preserve">Modified </t>
  </si>
  <si>
    <t>Prescription</t>
  </si>
  <si>
    <t>STS P{LV</t>
  </si>
  <si>
    <t>LV</t>
  </si>
  <si>
    <t>Total PLV</t>
  </si>
  <si>
    <t xml:space="preserve">Wrangell 10 yr Draft Alt 2 FS </t>
  </si>
  <si>
    <t>Available volume  cost and PLV</t>
  </si>
  <si>
    <t>4800-824</t>
  </si>
  <si>
    <t>SHV PC</t>
  </si>
  <si>
    <t>linear gr</t>
  </si>
  <si>
    <t>Temp road</t>
  </si>
  <si>
    <t>Amt</t>
  </si>
  <si>
    <t>SHV STS</t>
  </si>
  <si>
    <t>stump to Truck</t>
  </si>
  <si>
    <t>stump to mill</t>
  </si>
  <si>
    <t>Cons &amp; Recons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</si>
</sst>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0.0"/>
    <numFmt numFmtId="166" formatCode="#,##0.0"/>
    <numFmt numFmtId="167" formatCode="&quot;$&quot;#,##0.00"/>
    <numFmt numFmtId="168" formatCode=";;;"/>
    <numFmt numFmtId="169" formatCode="_(\$* #,##0_);_(\$* \(#,##0\);_(\$* \-??_);_(@_)"/>
    <numFmt numFmtId="170" formatCode="0.000"/>
    <numFmt numFmtId="171" formatCode="_(* #,##0.0000_);_(* \(#,##0.0000\);_(* &quot;-&quot;??_);_(@_)"/>
    <numFmt numFmtId="172" formatCode="0.0%"/>
    <numFmt numFmtId="173" formatCode="&quot;$&quot;#,##0;[Red]&quot;$&quot;#,##0"/>
  </numFmts>
  <fonts count="46" x14ac:knownFonts="1">
    <font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  <font>
      <b/>
      <sz val="10"/>
      <name val="Arial"/>
      <family val="2"/>
    </font>
    <font>
      <sz val="10"/>
      <name val="Arial"/>
    </font>
    <font>
      <sz val="10"/>
      <color indexed="10"/>
      <name val="Arial"/>
    </font>
    <font>
      <b/>
      <sz val="10"/>
      <color indexed="11"/>
      <name val="Arial"/>
      <family val="2"/>
    </font>
    <font>
      <sz val="10"/>
      <color indexed="11"/>
      <name val="Arial"/>
    </font>
    <font>
      <b/>
      <sz val="10"/>
      <color indexed="20"/>
      <name val="Arial"/>
      <family val="2"/>
    </font>
    <font>
      <sz val="10"/>
      <color indexed="20"/>
      <name val="Arial"/>
    </font>
    <font>
      <b/>
      <sz val="10"/>
      <color indexed="53"/>
      <name val="Arial"/>
      <family val="2"/>
    </font>
    <font>
      <sz val="10"/>
      <color indexed="53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57"/>
      <name val="Arial"/>
      <family val="2"/>
    </font>
    <font>
      <sz val="10"/>
      <color indexed="57"/>
      <name val="Arial"/>
    </font>
    <font>
      <sz val="8"/>
      <name val="Arial"/>
    </font>
    <font>
      <b/>
      <u/>
      <sz val="10"/>
      <color indexed="30"/>
      <name val="Arial"/>
      <family val="2"/>
    </font>
    <font>
      <b/>
      <sz val="10"/>
      <color indexed="30"/>
      <name val="Arial"/>
      <family val="2"/>
    </font>
    <font>
      <sz val="10"/>
      <color indexed="30"/>
      <name val="Arial"/>
      <family val="2"/>
    </font>
    <font>
      <i/>
      <sz val="9"/>
      <color indexed="30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sz val="10"/>
      <color indexed="12"/>
      <name val="Arial"/>
    </font>
    <font>
      <sz val="10"/>
      <color indexed="51"/>
      <name val="Arial"/>
      <family val="2"/>
    </font>
    <font>
      <b/>
      <sz val="12"/>
      <name val="MS Sans Serif"/>
      <family val="2"/>
    </font>
    <font>
      <u/>
      <sz val="10"/>
      <color theme="10"/>
      <name val="Arial"/>
      <family val="2"/>
    </font>
    <font>
      <b/>
      <u/>
      <sz val="1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i/>
      <sz val="9"/>
      <name val="Arial"/>
      <family val="2"/>
    </font>
    <font>
      <b/>
      <u/>
      <sz val="10"/>
      <color rgb="FF0070C0"/>
      <name val="Arial"/>
      <family val="2"/>
    </font>
    <font>
      <i/>
      <sz val="9"/>
      <color rgb="FF0070C0"/>
      <name val="Arial"/>
      <family val="2"/>
    </font>
    <font>
      <u/>
      <sz val="10"/>
      <color theme="11"/>
      <name val="Verdana"/>
    </font>
    <font>
      <sz val="10"/>
      <color theme="0"/>
      <name val="Verdana"/>
    </font>
    <font>
      <b/>
      <sz val="10"/>
      <color theme="0"/>
      <name val="Arial"/>
      <family val="2"/>
    </font>
    <font>
      <b/>
      <sz val="12"/>
      <color theme="0"/>
      <name val="MS Sans Serif"/>
      <family val="2"/>
    </font>
    <font>
      <sz val="10"/>
      <color indexed="206"/>
      <name val="Verdana"/>
    </font>
    <font>
      <sz val="11"/>
      <color indexed="206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53"/>
      </patternFill>
    </fill>
    <fill>
      <patternFill patternType="solid">
        <fgColor indexed="27"/>
        <bgColor indexed="35"/>
      </patternFill>
    </fill>
    <fill>
      <patternFill patternType="solid">
        <fgColor indexed="42"/>
        <bgColor indexed="49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8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708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3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242">
    <xf numFmtId="0" fontId="0" fillId="0" borderId="0" xfId="0"/>
    <xf numFmtId="1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4" fontId="0" fillId="0" borderId="0" xfId="0" applyNumberFormat="1"/>
    <xf numFmtId="9" fontId="0" fillId="0" borderId="0" xfId="0" applyNumberFormat="1"/>
    <xf numFmtId="9" fontId="0" fillId="0" borderId="0" xfId="2" applyFont="1"/>
    <xf numFmtId="164" fontId="0" fillId="0" borderId="0" xfId="0" applyNumberFormat="1"/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4" fillId="0" borderId="0" xfId="0" applyFont="1"/>
    <xf numFmtId="1" fontId="0" fillId="0" borderId="0" xfId="0" applyNumberFormat="1"/>
    <xf numFmtId="165" fontId="0" fillId="0" borderId="0" xfId="0" applyNumberFormat="1"/>
    <xf numFmtId="164" fontId="5" fillId="0" borderId="0" xfId="2" applyNumberFormat="1" applyFont="1"/>
    <xf numFmtId="1" fontId="6" fillId="0" borderId="0" xfId="0" applyNumberFormat="1" applyFont="1"/>
    <xf numFmtId="0" fontId="0" fillId="0" borderId="0" xfId="0" applyAlignment="1">
      <alignment horizontal="center"/>
    </xf>
    <xf numFmtId="6" fontId="0" fillId="0" borderId="0" xfId="0" applyNumberFormat="1"/>
    <xf numFmtId="3" fontId="6" fillId="0" borderId="0" xfId="0" applyNumberFormat="1" applyFont="1"/>
    <xf numFmtId="8" fontId="0" fillId="0" borderId="0" xfId="0" applyNumberFormat="1"/>
    <xf numFmtId="164" fontId="6" fillId="0" borderId="0" xfId="0" applyNumberFormat="1" applyFont="1"/>
    <xf numFmtId="0" fontId="1" fillId="0" borderId="0" xfId="0" applyFont="1"/>
    <xf numFmtId="164" fontId="0" fillId="0" borderId="0" xfId="0" applyNumberForma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right"/>
    </xf>
    <xf numFmtId="0" fontId="7" fillId="0" borderId="0" xfId="0" applyFont="1"/>
    <xf numFmtId="0" fontId="4" fillId="0" borderId="0" xfId="0" applyFont="1" applyAlignment="1">
      <alignment horizontal="center"/>
    </xf>
    <xf numFmtId="1" fontId="8" fillId="0" borderId="0" xfId="0" applyNumberFormat="1" applyFont="1"/>
    <xf numFmtId="0" fontId="4" fillId="0" borderId="0" xfId="0" applyFont="1" applyAlignment="1">
      <alignment horizontal="right"/>
    </xf>
    <xf numFmtId="164" fontId="4" fillId="0" borderId="0" xfId="0" applyNumberFormat="1" applyFont="1"/>
    <xf numFmtId="164" fontId="8" fillId="0" borderId="0" xfId="0" applyNumberFormat="1" applyFont="1"/>
    <xf numFmtId="1" fontId="4" fillId="0" borderId="0" xfId="0" applyNumberFormat="1" applyFont="1"/>
    <xf numFmtId="0" fontId="0" fillId="0" borderId="0" xfId="0" applyNumberFormat="1"/>
    <xf numFmtId="3" fontId="0" fillId="0" borderId="0" xfId="0" applyNumberFormat="1"/>
    <xf numFmtId="0" fontId="9" fillId="0" borderId="0" xfId="0" applyFont="1"/>
    <xf numFmtId="1" fontId="10" fillId="0" borderId="0" xfId="0" applyNumberFormat="1" applyFont="1"/>
    <xf numFmtId="42" fontId="0" fillId="0" borderId="0" xfId="0" applyNumberFormat="1"/>
    <xf numFmtId="164" fontId="6" fillId="0" borderId="0" xfId="2" applyNumberFormat="1" applyFont="1"/>
    <xf numFmtId="0" fontId="11" fillId="0" borderId="0" xfId="0" applyFont="1"/>
    <xf numFmtId="1" fontId="12" fillId="0" borderId="0" xfId="0" applyNumberFormat="1" applyFont="1"/>
    <xf numFmtId="164" fontId="12" fillId="0" borderId="0" xfId="0" applyNumberFormat="1" applyFont="1"/>
    <xf numFmtId="14" fontId="0" fillId="0" borderId="0" xfId="0" applyNumberFormat="1" applyAlignment="1">
      <alignment horizontal="right"/>
    </xf>
    <xf numFmtId="0" fontId="13" fillId="0" borderId="0" xfId="0" applyFont="1"/>
    <xf numFmtId="1" fontId="14" fillId="0" borderId="0" xfId="0" applyNumberFormat="1" applyFont="1"/>
    <xf numFmtId="164" fontId="14" fillId="0" borderId="0" xfId="0" applyNumberFormat="1" applyFont="1" applyFill="1" applyBorder="1" applyProtection="1"/>
    <xf numFmtId="3" fontId="14" fillId="0" borderId="0" xfId="2" applyNumberFormat="1" applyFont="1"/>
    <xf numFmtId="164" fontId="14" fillId="0" borderId="0" xfId="2" applyNumberFormat="1" applyFont="1"/>
    <xf numFmtId="164" fontId="14" fillId="0" borderId="0" xfId="0" applyNumberFormat="1" applyFont="1" applyFill="1" applyProtection="1"/>
    <xf numFmtId="164" fontId="14" fillId="0" borderId="0" xfId="0" applyNumberFormat="1" applyFont="1"/>
    <xf numFmtId="164" fontId="14" fillId="0" borderId="0" xfId="0" applyNumberFormat="1" applyFont="1" applyFill="1" applyBorder="1" applyAlignment="1" applyProtection="1">
      <alignment horizontal="right"/>
    </xf>
    <xf numFmtId="164" fontId="14" fillId="0" borderId="0" xfId="0" applyNumberFormat="1" applyFont="1" applyFill="1"/>
    <xf numFmtId="164" fontId="14" fillId="0" borderId="0" xfId="0" applyNumberFormat="1" applyFont="1" applyFill="1" applyBorder="1"/>
    <xf numFmtId="0" fontId="15" fillId="0" borderId="0" xfId="0" applyFont="1"/>
    <xf numFmtId="3" fontId="4" fillId="0" borderId="0" xfId="0" applyNumberFormat="1" applyFont="1"/>
    <xf numFmtId="1" fontId="1" fillId="0" borderId="0" xfId="0" applyNumberFormat="1" applyFont="1"/>
    <xf numFmtId="166" fontId="14" fillId="0" borderId="0" xfId="2" applyNumberFormat="1" applyFont="1"/>
    <xf numFmtId="0" fontId="16" fillId="0" borderId="0" xfId="0" applyFont="1"/>
    <xf numFmtId="0" fontId="17" fillId="0" borderId="0" xfId="0" applyFont="1"/>
    <xf numFmtId="1" fontId="18" fillId="0" borderId="0" xfId="0" applyNumberFormat="1" applyFont="1"/>
    <xf numFmtId="3" fontId="18" fillId="0" borderId="0" xfId="0" applyNumberFormat="1" applyFont="1"/>
    <xf numFmtId="164" fontId="18" fillId="0" borderId="0" xfId="0" applyNumberFormat="1" applyFont="1"/>
    <xf numFmtId="2" fontId="0" fillId="0" borderId="0" xfId="0" applyNumberFormat="1"/>
    <xf numFmtId="167" fontId="0" fillId="0" borderId="0" xfId="0" applyNumberFormat="1"/>
    <xf numFmtId="14" fontId="5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horizontal="center" wrapText="1"/>
    </xf>
    <xf numFmtId="0" fontId="20" fillId="0" borderId="0" xfId="0" applyFont="1" applyFill="1" applyProtection="1"/>
    <xf numFmtId="0" fontId="21" fillId="0" borderId="0" xfId="0" applyFont="1" applyFill="1"/>
    <xf numFmtId="0" fontId="21" fillId="0" borderId="0" xfId="0" applyFont="1" applyFill="1" applyProtection="1"/>
    <xf numFmtId="0" fontId="22" fillId="0" borderId="0" xfId="3" applyNumberFormat="1" applyFont="1" applyFill="1" applyProtection="1"/>
    <xf numFmtId="0" fontId="23" fillId="0" borderId="0" xfId="3" applyFont="1" applyFill="1" applyProtection="1"/>
    <xf numFmtId="0" fontId="22" fillId="0" borderId="0" xfId="0" applyFont="1" applyFill="1" applyProtection="1"/>
    <xf numFmtId="0" fontId="22" fillId="0" borderId="0" xfId="0" applyFont="1" applyFill="1" applyBorder="1"/>
    <xf numFmtId="0" fontId="22" fillId="0" borderId="0" xfId="0" applyFont="1" applyFill="1"/>
    <xf numFmtId="0" fontId="21" fillId="0" borderId="0" xfId="3" applyNumberFormat="1" applyFont="1" applyFill="1" applyProtection="1"/>
    <xf numFmtId="0" fontId="24" fillId="0" borderId="0" xfId="3" applyFont="1" applyFill="1" applyProtection="1"/>
    <xf numFmtId="0" fontId="5" fillId="0" borderId="0" xfId="0" applyFont="1" applyFill="1" applyProtection="1"/>
    <xf numFmtId="0" fontId="5" fillId="0" borderId="0" xfId="0" applyFont="1" applyFill="1"/>
    <xf numFmtId="0" fontId="25" fillId="0" borderId="0" xfId="3" applyFont="1" applyFill="1" applyProtection="1"/>
    <xf numFmtId="0" fontId="26" fillId="0" borderId="0" xfId="0" applyFont="1" applyProtection="1"/>
    <xf numFmtId="0" fontId="28" fillId="0" borderId="0" xfId="0" applyFont="1"/>
    <xf numFmtId="14" fontId="0" fillId="0" borderId="0" xfId="0" applyNumberFormat="1" applyAlignment="1" applyProtection="1">
      <alignment horizontal="center"/>
    </xf>
    <xf numFmtId="0" fontId="29" fillId="0" borderId="0" xfId="0" applyFont="1" applyAlignment="1" applyProtection="1">
      <alignment horizontal="left"/>
    </xf>
    <xf numFmtId="0" fontId="28" fillId="0" borderId="0" xfId="0" applyFont="1" applyBorder="1"/>
    <xf numFmtId="0" fontId="29" fillId="0" borderId="0" xfId="0" applyFont="1" applyProtection="1"/>
    <xf numFmtId="0" fontId="0" fillId="9" borderId="2" xfId="0" applyFill="1" applyBorder="1" applyProtection="1"/>
    <xf numFmtId="0" fontId="0" fillId="0" borderId="0" xfId="0" applyProtection="1"/>
    <xf numFmtId="0" fontId="0" fillId="8" borderId="2" xfId="0" applyFill="1" applyBorder="1" applyProtection="1"/>
    <xf numFmtId="0" fontId="0" fillId="0" borderId="0" xfId="0" applyFont="1" applyBorder="1"/>
    <xf numFmtId="0" fontId="0" fillId="7" borderId="2" xfId="0" applyFill="1" applyBorder="1" applyProtection="1"/>
    <xf numFmtId="0" fontId="30" fillId="0" borderId="0" xfId="0" applyFont="1" applyBorder="1"/>
    <xf numFmtId="0" fontId="0" fillId="6" borderId="2" xfId="0" applyFill="1" applyBorder="1"/>
    <xf numFmtId="0" fontId="0" fillId="0" borderId="0" xfId="0" applyFont="1" applyFill="1" applyBorder="1"/>
    <xf numFmtId="0" fontId="0" fillId="0" borderId="0" xfId="0" applyFill="1" applyBorder="1"/>
    <xf numFmtId="0" fontId="0" fillId="0" borderId="0" xfId="0" applyFont="1" applyFill="1"/>
    <xf numFmtId="0" fontId="0" fillId="0" borderId="0" xfId="0" applyFill="1"/>
    <xf numFmtId="0" fontId="30" fillId="0" borderId="0" xfId="0" applyFont="1" applyFill="1" applyBorder="1"/>
    <xf numFmtId="168" fontId="31" fillId="5" borderId="2" xfId="0" applyNumberFormat="1" applyFont="1" applyFill="1" applyBorder="1"/>
    <xf numFmtId="0" fontId="4" fillId="0" borderId="0" xfId="0" applyFont="1" applyFill="1" applyBorder="1"/>
    <xf numFmtId="0" fontId="0" fillId="0" borderId="0" xfId="0" applyBorder="1"/>
    <xf numFmtId="0" fontId="4" fillId="0" borderId="1" xfId="0" applyFont="1" applyBorder="1"/>
    <xf numFmtId="0" fontId="4" fillId="0" borderId="2" xfId="0" applyFont="1" applyBorder="1"/>
    <xf numFmtId="0" fontId="0" fillId="0" borderId="4" xfId="0" applyBorder="1"/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3" borderId="1" xfId="0" applyFont="1" applyFill="1" applyBorder="1"/>
    <xf numFmtId="0" fontId="0" fillId="3" borderId="6" xfId="0" applyFont="1" applyFill="1" applyBorder="1"/>
    <xf numFmtId="0" fontId="0" fillId="3" borderId="7" xfId="0" applyFont="1" applyFill="1" applyBorder="1"/>
    <xf numFmtId="0" fontId="4" fillId="0" borderId="1" xfId="0" applyFont="1" applyBorder="1" applyAlignment="1">
      <alignment wrapText="1"/>
    </xf>
    <xf numFmtId="169" fontId="32" fillId="2" borderId="2" xfId="1" applyNumberFormat="1" applyFont="1" applyFill="1" applyBorder="1" applyAlignment="1" applyProtection="1">
      <protection hidden="1"/>
    </xf>
    <xf numFmtId="0" fontId="0" fillId="3" borderId="3" xfId="0" applyFont="1" applyFill="1" applyBorder="1"/>
    <xf numFmtId="44" fontId="4" fillId="0" borderId="0" xfId="1" applyFont="1" applyFill="1" applyBorder="1" applyAlignment="1" applyProtection="1">
      <protection hidden="1"/>
    </xf>
    <xf numFmtId="0" fontId="0" fillId="0" borderId="6" xfId="0" applyBorder="1"/>
    <xf numFmtId="0" fontId="0" fillId="0" borderId="7" xfId="0" applyBorder="1"/>
    <xf numFmtId="0" fontId="0" fillId="0" borderId="12" xfId="0" applyBorder="1"/>
    <xf numFmtId="0" fontId="0" fillId="0" borderId="11" xfId="0" applyBorder="1"/>
    <xf numFmtId="0" fontId="0" fillId="0" borderId="9" xfId="0" applyFont="1" applyBorder="1"/>
    <xf numFmtId="0" fontId="0" fillId="4" borderId="17" xfId="0" applyFill="1" applyBorder="1" applyProtection="1">
      <protection locked="0"/>
    </xf>
    <xf numFmtId="0" fontId="0" fillId="6" borderId="0" xfId="0" applyFont="1" applyFill="1" applyBorder="1"/>
    <xf numFmtId="0" fontId="0" fillId="6" borderId="10" xfId="0" applyFont="1" applyFill="1" applyBorder="1"/>
    <xf numFmtId="0" fontId="0" fillId="4" borderId="16" xfId="0" applyFill="1" applyBorder="1" applyProtection="1">
      <protection locked="0"/>
    </xf>
    <xf numFmtId="0" fontId="0" fillId="6" borderId="0" xfId="0" applyFill="1" applyBorder="1"/>
    <xf numFmtId="0" fontId="0" fillId="6" borderId="10" xfId="0" applyFill="1" applyBorder="1"/>
    <xf numFmtId="0" fontId="0" fillId="4" borderId="15" xfId="0" applyFill="1" applyBorder="1" applyProtection="1">
      <protection locked="0"/>
    </xf>
    <xf numFmtId="0" fontId="0" fillId="0" borderId="10" xfId="0" applyBorder="1"/>
    <xf numFmtId="0" fontId="4" fillId="0" borderId="5" xfId="0" applyFont="1" applyBorder="1" applyAlignment="1">
      <alignment wrapText="1"/>
    </xf>
    <xf numFmtId="0" fontId="0" fillId="0" borderId="13" xfId="0" applyBorder="1"/>
    <xf numFmtId="0" fontId="0" fillId="0" borderId="14" xfId="0" applyBorder="1"/>
    <xf numFmtId="0" fontId="4" fillId="10" borderId="4" xfId="0" applyFont="1" applyFill="1" applyBorder="1"/>
    <xf numFmtId="0" fontId="4" fillId="10" borderId="11" xfId="0" applyFont="1" applyFill="1" applyBorder="1"/>
    <xf numFmtId="0" fontId="4" fillId="11" borderId="4" xfId="0" applyFont="1" applyFill="1" applyBorder="1"/>
    <xf numFmtId="0" fontId="4" fillId="11" borderId="12" xfId="0" applyFont="1" applyFill="1" applyBorder="1"/>
    <xf numFmtId="0" fontId="4" fillId="11" borderId="11" xfId="0" applyFont="1" applyFill="1" applyBorder="1"/>
    <xf numFmtId="0" fontId="0" fillId="3" borderId="0" xfId="0" applyFont="1" applyFill="1"/>
    <xf numFmtId="0" fontId="0" fillId="3" borderId="0" xfId="0" applyFont="1" applyFill="1" applyBorder="1"/>
    <xf numFmtId="0" fontId="0" fillId="3" borderId="0" xfId="0" applyFill="1" applyBorder="1"/>
    <xf numFmtId="0" fontId="0" fillId="0" borderId="8" xfId="0" applyFont="1" applyBorder="1"/>
    <xf numFmtId="0" fontId="4" fillId="10" borderId="9" xfId="0" applyFont="1" applyFill="1" applyBorder="1"/>
    <xf numFmtId="0" fontId="4" fillId="10" borderId="10" xfId="0" applyFont="1" applyFill="1" applyBorder="1"/>
    <xf numFmtId="0" fontId="4" fillId="11" borderId="9" xfId="0" applyFont="1" applyFill="1" applyBorder="1"/>
    <xf numFmtId="0" fontId="4" fillId="11" borderId="0" xfId="0" applyNumberFormat="1" applyFont="1" applyFill="1" applyBorder="1"/>
    <xf numFmtId="0" fontId="4" fillId="11" borderId="0" xfId="0" applyFont="1" applyFill="1" applyBorder="1"/>
    <xf numFmtId="0" fontId="4" fillId="11" borderId="10" xfId="0" applyFont="1" applyFill="1" applyBorder="1"/>
    <xf numFmtId="0" fontId="0" fillId="0" borderId="1" xfId="0" applyBorder="1"/>
    <xf numFmtId="0" fontId="0" fillId="6" borderId="0" xfId="0" applyFill="1"/>
    <xf numFmtId="0" fontId="0" fillId="0" borderId="1" xfId="0" applyFont="1" applyBorder="1"/>
    <xf numFmtId="166" fontId="0" fillId="0" borderId="0" xfId="0" applyNumberFormat="1"/>
    <xf numFmtId="165" fontId="0" fillId="0" borderId="0" xfId="0" applyNumberFormat="1"/>
    <xf numFmtId="1" fontId="5" fillId="0" borderId="0" xfId="0" applyNumberFormat="1" applyFont="1"/>
    <xf numFmtId="1" fontId="0" fillId="0" borderId="0" xfId="0" applyNumberFormat="1"/>
    <xf numFmtId="164" fontId="0" fillId="0" borderId="0" xfId="0" applyNumberFormat="1"/>
    <xf numFmtId="0" fontId="4" fillId="0" borderId="0" xfId="0" applyFont="1" applyAlignment="1" applyProtection="1">
      <alignment vertical="center"/>
    </xf>
    <xf numFmtId="0" fontId="5" fillId="0" borderId="0" xfId="0" applyFont="1" applyProtection="1"/>
    <xf numFmtId="0" fontId="5" fillId="0" borderId="0" xfId="0" applyFont="1"/>
    <xf numFmtId="49" fontId="14" fillId="0" borderId="0" xfId="0" applyNumberFormat="1" applyFont="1" applyBorder="1" applyAlignment="1" applyProtection="1"/>
    <xf numFmtId="0" fontId="5" fillId="0" borderId="0" xfId="0" applyFont="1" applyBorder="1"/>
    <xf numFmtId="0" fontId="33" fillId="0" borderId="0" xfId="4" applyBorder="1"/>
    <xf numFmtId="0" fontId="34" fillId="0" borderId="0" xfId="0" applyFont="1" applyProtection="1"/>
    <xf numFmtId="0" fontId="4" fillId="0" borderId="0" xfId="0" applyFont="1" applyProtection="1"/>
    <xf numFmtId="0" fontId="4" fillId="0" borderId="0" xfId="0" applyFont="1" applyBorder="1" applyAlignment="1" applyProtection="1">
      <alignment horizontal="center" wrapText="1"/>
    </xf>
    <xf numFmtId="0" fontId="5" fillId="0" borderId="0" xfId="0" applyFont="1" applyAlignment="1" applyProtection="1">
      <alignment wrapText="1"/>
    </xf>
    <xf numFmtId="0" fontId="5" fillId="0" borderId="0" xfId="0" applyFont="1" applyFill="1" applyAlignment="1">
      <alignment wrapText="1"/>
    </xf>
    <xf numFmtId="44" fontId="4" fillId="0" borderId="0" xfId="0" applyNumberFormat="1" applyFont="1" applyFill="1" applyProtection="1"/>
    <xf numFmtId="44" fontId="14" fillId="0" borderId="0" xfId="1" applyFont="1" applyFill="1" applyProtection="1"/>
    <xf numFmtId="44" fontId="5" fillId="0" borderId="0" xfId="0" applyNumberFormat="1" applyFont="1"/>
    <xf numFmtId="44" fontId="5" fillId="0" borderId="0" xfId="0" applyNumberFormat="1" applyFont="1" applyFill="1"/>
    <xf numFmtId="44" fontId="5" fillId="0" borderId="0" xfId="1" applyFont="1" applyFill="1"/>
    <xf numFmtId="44" fontId="13" fillId="0" borderId="0" xfId="1" applyFont="1" applyFill="1" applyProtection="1"/>
    <xf numFmtId="44" fontId="4" fillId="0" borderId="0" xfId="0" applyNumberFormat="1" applyFont="1" applyFill="1" applyBorder="1" applyProtection="1"/>
    <xf numFmtId="44" fontId="5" fillId="0" borderId="0" xfId="1" applyFont="1" applyFill="1" applyProtection="1"/>
    <xf numFmtId="0" fontId="35" fillId="0" borderId="0" xfId="0" applyFont="1" applyProtection="1"/>
    <xf numFmtId="44" fontId="35" fillId="0" borderId="0" xfId="0" applyNumberFormat="1" applyFont="1" applyFill="1" applyProtection="1"/>
    <xf numFmtId="44" fontId="36" fillId="0" borderId="0" xfId="1" applyFont="1" applyFill="1" applyProtection="1"/>
    <xf numFmtId="44" fontId="4" fillId="0" borderId="0" xfId="1" applyFont="1" applyFill="1" applyProtection="1"/>
    <xf numFmtId="0" fontId="5" fillId="0" borderId="0" xfId="3" applyNumberFormat="1" applyFont="1" applyFill="1" applyProtection="1"/>
    <xf numFmtId="0" fontId="5" fillId="0" borderId="0" xfId="3" applyFont="1" applyFill="1" applyProtection="1"/>
    <xf numFmtId="5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Protection="1"/>
    <xf numFmtId="164" fontId="5" fillId="0" borderId="0" xfId="0" applyNumberFormat="1" applyFont="1" applyFill="1" applyBorder="1" applyAlignment="1" applyProtection="1">
      <alignment horizontal="left"/>
    </xf>
    <xf numFmtId="0" fontId="37" fillId="0" borderId="0" xfId="3" applyFont="1" applyFill="1" applyProtection="1"/>
    <xf numFmtId="0" fontId="5" fillId="0" borderId="0" xfId="0" applyFont="1" applyFill="1" applyBorder="1"/>
    <xf numFmtId="0" fontId="38" fillId="0" borderId="0" xfId="0" applyFont="1" applyFill="1" applyProtection="1"/>
    <xf numFmtId="0" fontId="35" fillId="0" borderId="0" xfId="0" applyFont="1" applyFill="1"/>
    <xf numFmtId="0" fontId="35" fillId="0" borderId="0" xfId="0" applyFont="1" applyFill="1" applyProtection="1"/>
    <xf numFmtId="0" fontId="36" fillId="0" borderId="0" xfId="3" applyNumberFormat="1" applyFont="1" applyFill="1" applyProtection="1"/>
    <xf numFmtId="0" fontId="39" fillId="0" borderId="0" xfId="3" applyFont="1" applyFill="1" applyProtection="1"/>
    <xf numFmtId="0" fontId="36" fillId="0" borderId="0" xfId="0" applyFont="1" applyFill="1" applyProtection="1"/>
    <xf numFmtId="0" fontId="36" fillId="0" borderId="0" xfId="0" applyFont="1" applyFill="1" applyBorder="1"/>
    <xf numFmtId="0" fontId="36" fillId="0" borderId="0" xfId="0" applyFont="1" applyFill="1"/>
    <xf numFmtId="0" fontId="35" fillId="0" borderId="0" xfId="3" applyNumberFormat="1" applyFont="1" applyFill="1" applyProtection="1"/>
    <xf numFmtId="0" fontId="13" fillId="0" borderId="0" xfId="3" applyFont="1" applyProtection="1"/>
    <xf numFmtId="0" fontId="4" fillId="0" borderId="0" xfId="0" applyFont="1" applyAlignment="1" applyProtection="1">
      <alignment horizontal="center"/>
    </xf>
    <xf numFmtId="49" fontId="4" fillId="0" borderId="0" xfId="0" applyNumberFormat="1" applyFont="1" applyFill="1" applyAlignment="1" applyProtection="1">
      <alignment horizontal="left"/>
    </xf>
    <xf numFmtId="44" fontId="4" fillId="0" borderId="2" xfId="0" applyNumberFormat="1" applyFont="1" applyFill="1" applyBorder="1" applyAlignment="1" applyProtection="1"/>
    <xf numFmtId="0" fontId="4" fillId="0" borderId="0" xfId="0" applyFont="1" applyFill="1" applyProtection="1"/>
    <xf numFmtId="0" fontId="4" fillId="0" borderId="0" xfId="0" applyFont="1" applyFill="1" applyAlignment="1" applyProtection="1">
      <alignment wrapText="1"/>
    </xf>
    <xf numFmtId="44" fontId="4" fillId="0" borderId="2" xfId="1" applyFont="1" applyFill="1" applyBorder="1" applyProtection="1"/>
    <xf numFmtId="44" fontId="4" fillId="0" borderId="2" xfId="0" applyNumberFormat="1" applyFont="1" applyFill="1" applyBorder="1" applyProtection="1"/>
    <xf numFmtId="0" fontId="4" fillId="0" borderId="0" xfId="0" applyFont="1" applyFill="1" applyAlignment="1" applyProtection="1">
      <alignment horizontal="left"/>
    </xf>
    <xf numFmtId="44" fontId="5" fillId="0" borderId="0" xfId="0" applyNumberFormat="1" applyFont="1" applyFill="1" applyProtection="1"/>
    <xf numFmtId="0" fontId="4" fillId="0" borderId="0" xfId="0" applyFont="1" applyFill="1" applyAlignment="1" applyProtection="1"/>
    <xf numFmtId="44" fontId="4" fillId="0" borderId="0" xfId="1" applyFont="1" applyFill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wrapText="1"/>
    </xf>
    <xf numFmtId="44" fontId="4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Fill="1" applyBorder="1" applyAlignment="1" applyProtection="1">
      <alignment horizontal="center" wrapText="1"/>
    </xf>
    <xf numFmtId="170" fontId="4" fillId="0" borderId="0" xfId="0" quotePrefix="1" applyNumberFormat="1" applyFont="1" applyBorder="1" applyAlignment="1" applyProtection="1">
      <alignment horizontal="center"/>
    </xf>
    <xf numFmtId="9" fontId="5" fillId="0" borderId="0" xfId="2" applyFont="1" applyFill="1" applyBorder="1" applyAlignment="1" applyProtection="1">
      <alignment horizontal="center"/>
    </xf>
    <xf numFmtId="44" fontId="4" fillId="0" borderId="0" xfId="0" applyNumberFormat="1" applyFont="1"/>
    <xf numFmtId="44" fontId="5" fillId="0" borderId="0" xfId="1" applyFont="1"/>
    <xf numFmtId="170" fontId="4" fillId="0" borderId="0" xfId="0" applyNumberFormat="1" applyFont="1" applyFill="1" applyBorder="1" applyAlignment="1">
      <alignment horizontal="center"/>
    </xf>
    <xf numFmtId="0" fontId="5" fillId="0" borderId="0" xfId="0" applyFont="1" applyBorder="1" applyProtection="1"/>
    <xf numFmtId="170" fontId="35" fillId="0" borderId="0" xfId="0" applyNumberFormat="1" applyFont="1" applyFill="1" applyBorder="1" applyAlignment="1">
      <alignment horizontal="center"/>
    </xf>
    <xf numFmtId="9" fontId="36" fillId="0" borderId="0" xfId="2" applyFont="1" applyFill="1" applyBorder="1" applyAlignment="1" applyProtection="1">
      <alignment horizontal="center"/>
    </xf>
    <xf numFmtId="44" fontId="35" fillId="0" borderId="0" xfId="0" applyNumberFormat="1" applyFont="1"/>
    <xf numFmtId="44" fontId="36" fillId="0" borderId="0" xfId="1" applyFont="1"/>
    <xf numFmtId="170" fontId="35" fillId="0" borderId="0" xfId="0" applyNumberFormat="1" applyFont="1" applyAlignment="1" applyProtection="1">
      <alignment horizontal="center" wrapText="1"/>
    </xf>
    <xf numFmtId="14" fontId="5" fillId="0" borderId="0" xfId="0" applyNumberFormat="1" applyFont="1"/>
    <xf numFmtId="171" fontId="4" fillId="0" borderId="0" xfId="0" applyNumberFormat="1" applyFont="1" applyFill="1" applyBorder="1" applyAlignment="1">
      <alignment horizontal="center"/>
    </xf>
    <xf numFmtId="9" fontId="4" fillId="0" borderId="0" xfId="2" applyFont="1" applyFill="1" applyBorder="1" applyAlignment="1" applyProtection="1">
      <alignment horizontal="center"/>
    </xf>
    <xf numFmtId="0" fontId="42" fillId="0" borderId="0" xfId="0" applyFont="1" applyFill="1" applyBorder="1"/>
    <xf numFmtId="44" fontId="42" fillId="0" borderId="0" xfId="1" applyFont="1" applyFill="1" applyBorder="1" applyAlignment="1" applyProtection="1">
      <protection hidden="1"/>
    </xf>
    <xf numFmtId="0" fontId="41" fillId="0" borderId="0" xfId="0" applyFont="1" applyFill="1" applyBorder="1"/>
    <xf numFmtId="0" fontId="42" fillId="0" borderId="0" xfId="0" applyNumberFormat="1" applyFont="1" applyFill="1" applyBorder="1"/>
    <xf numFmtId="0" fontId="41" fillId="0" borderId="0" xfId="0" applyFont="1" applyFill="1" applyBorder="1" applyProtection="1">
      <protection locked="0"/>
    </xf>
    <xf numFmtId="0" fontId="42" fillId="0" borderId="0" xfId="0" applyFont="1" applyFill="1" applyBorder="1" applyAlignment="1">
      <alignment wrapText="1"/>
    </xf>
    <xf numFmtId="169" fontId="43" fillId="0" borderId="0" xfId="1" applyNumberFormat="1" applyFont="1" applyFill="1" applyBorder="1" applyAlignment="1" applyProtection="1">
      <protection hidden="1"/>
    </xf>
    <xf numFmtId="0" fontId="41" fillId="0" borderId="0" xfId="0" applyFont="1" applyFill="1" applyBorder="1" applyProtection="1"/>
    <xf numFmtId="0" fontId="28" fillId="0" borderId="0" xfId="0" applyFont="1" applyFill="1" applyBorder="1"/>
    <xf numFmtId="0" fontId="0" fillId="0" borderId="0" xfId="0" applyFill="1" applyBorder="1" applyProtection="1"/>
    <xf numFmtId="168" fontId="31" fillId="0" borderId="0" xfId="0" applyNumberFormat="1" applyFont="1" applyFill="1" applyBorder="1"/>
    <xf numFmtId="0" fontId="1" fillId="0" borderId="0" xfId="0" applyFont="1" applyAlignment="1">
      <alignment horizontal="right"/>
    </xf>
    <xf numFmtId="9" fontId="0" fillId="0" borderId="0" xfId="2" applyNumberFormat="1" applyFont="1"/>
    <xf numFmtId="172" fontId="0" fillId="0" borderId="0" xfId="0" applyNumberFormat="1"/>
    <xf numFmtId="2" fontId="14" fillId="0" borderId="0" xfId="2" applyNumberFormat="1" applyFont="1"/>
    <xf numFmtId="0" fontId="0" fillId="0" borderId="0" xfId="0" applyFont="1"/>
    <xf numFmtId="4" fontId="0" fillId="0" borderId="0" xfId="0" applyNumberFormat="1"/>
    <xf numFmtId="9" fontId="44" fillId="0" borderId="0" xfId="0" applyNumberFormat="1" applyFont="1"/>
    <xf numFmtId="173" fontId="0" fillId="0" borderId="0" xfId="0" applyNumberFormat="1"/>
    <xf numFmtId="1" fontId="45" fillId="0" borderId="0" xfId="0" applyNumberFormat="1" applyFont="1"/>
    <xf numFmtId="1" fontId="0" fillId="0" borderId="0" xfId="2" applyNumberFormat="1" applyFont="1"/>
    <xf numFmtId="9" fontId="0" fillId="0" borderId="0" xfId="2" applyFont="1" applyAlignment="1">
      <alignment horizontal="right"/>
    </xf>
    <xf numFmtId="9" fontId="0" fillId="0" borderId="0" xfId="0" applyNumberFormat="1" applyAlignment="1">
      <alignment horizontal="right"/>
    </xf>
  </cellXfs>
  <cellStyles count="708">
    <cellStyle name="Currency" xfId="1" builtinId="4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Followed Hyperlink" xfId="297" builtinId="9" hidden="1"/>
    <cellStyle name="Followed Hyperlink" xfId="298" builtinId="9" hidden="1"/>
    <cellStyle name="Followed Hyperlink" xfId="299" builtinId="9" hidden="1"/>
    <cellStyle name="Followed Hyperlink" xfId="300" builtinId="9" hidden="1"/>
    <cellStyle name="Followed Hyperlink" xfId="301" builtinId="9" hidden="1"/>
    <cellStyle name="Followed Hyperlink" xfId="302" builtinId="9" hidden="1"/>
    <cellStyle name="Followed Hyperlink" xfId="303" builtinId="9" hidden="1"/>
    <cellStyle name="Followed Hyperlink" xfId="304" builtinId="9" hidden="1"/>
    <cellStyle name="Followed Hyperlink" xfId="305" builtinId="9" hidden="1"/>
    <cellStyle name="Followed Hyperlink" xfId="306" builtinId="9" hidden="1"/>
    <cellStyle name="Followed Hyperlink" xfId="307" builtinId="9" hidden="1"/>
    <cellStyle name="Followed Hyperlink" xfId="308" builtinId="9" hidden="1"/>
    <cellStyle name="Followed Hyperlink" xfId="309" builtinId="9" hidden="1"/>
    <cellStyle name="Followed Hyperlink" xfId="310" builtinId="9" hidden="1"/>
    <cellStyle name="Followed Hyperlink" xfId="311" builtinId="9" hidden="1"/>
    <cellStyle name="Followed Hyperlink" xfId="312" builtinId="9" hidden="1"/>
    <cellStyle name="Followed Hyperlink" xfId="313" builtinId="9" hidden="1"/>
    <cellStyle name="Followed Hyperlink" xfId="314" builtinId="9" hidden="1"/>
    <cellStyle name="Followed Hyperlink" xfId="315" builtinId="9" hidden="1"/>
    <cellStyle name="Followed Hyperlink" xfId="316" builtinId="9" hidden="1"/>
    <cellStyle name="Followed Hyperlink" xfId="317" builtinId="9" hidden="1"/>
    <cellStyle name="Followed Hyperlink" xfId="318" builtinId="9" hidden="1"/>
    <cellStyle name="Followed Hyperlink" xfId="319" builtinId="9" hidden="1"/>
    <cellStyle name="Followed Hyperlink" xfId="320" builtinId="9" hidden="1"/>
    <cellStyle name="Followed Hyperlink" xfId="321" builtinId="9" hidden="1"/>
    <cellStyle name="Followed Hyperlink" xfId="322" builtinId="9" hidden="1"/>
    <cellStyle name="Followed Hyperlink" xfId="323" builtinId="9" hidden="1"/>
    <cellStyle name="Followed Hyperlink" xfId="324" builtinId="9" hidden="1"/>
    <cellStyle name="Followed Hyperlink" xfId="325" builtinId="9" hidden="1"/>
    <cellStyle name="Followed Hyperlink" xfId="326" builtinId="9" hidden="1"/>
    <cellStyle name="Followed Hyperlink" xfId="327" builtinId="9" hidden="1"/>
    <cellStyle name="Followed Hyperlink" xfId="328" builtinId="9" hidden="1"/>
    <cellStyle name="Followed Hyperlink" xfId="329" builtinId="9" hidden="1"/>
    <cellStyle name="Followed Hyperlink" xfId="330" builtinId="9" hidden="1"/>
    <cellStyle name="Followed Hyperlink" xfId="331" builtinId="9" hidden="1"/>
    <cellStyle name="Followed Hyperlink" xfId="332" builtinId="9" hidden="1"/>
    <cellStyle name="Followed Hyperlink" xfId="333" builtinId="9" hidden="1"/>
    <cellStyle name="Followed Hyperlink" xfId="334" builtinId="9" hidden="1"/>
    <cellStyle name="Followed Hyperlink" xfId="335" builtinId="9" hidden="1"/>
    <cellStyle name="Followed Hyperlink" xfId="336" builtinId="9" hidden="1"/>
    <cellStyle name="Followed Hyperlink" xfId="337" builtinId="9" hidden="1"/>
    <cellStyle name="Followed Hyperlink" xfId="338" builtinId="9" hidden="1"/>
    <cellStyle name="Followed Hyperlink" xfId="339" builtinId="9" hidden="1"/>
    <cellStyle name="Followed Hyperlink" xfId="340" builtinId="9" hidden="1"/>
    <cellStyle name="Followed Hyperlink" xfId="341" builtinId="9" hidden="1"/>
    <cellStyle name="Followed Hyperlink" xfId="342" builtinId="9" hidden="1"/>
    <cellStyle name="Followed Hyperlink" xfId="343" builtinId="9" hidden="1"/>
    <cellStyle name="Followed Hyperlink" xfId="344" builtinId="9" hidden="1"/>
    <cellStyle name="Followed Hyperlink" xfId="345" builtinId="9" hidden="1"/>
    <cellStyle name="Followed Hyperlink" xfId="346" builtinId="9" hidden="1"/>
    <cellStyle name="Followed Hyperlink" xfId="347" builtinId="9" hidden="1"/>
    <cellStyle name="Followed Hyperlink" xfId="348" builtinId="9" hidden="1"/>
    <cellStyle name="Followed Hyperlink" xfId="349" builtinId="9" hidden="1"/>
    <cellStyle name="Followed Hyperlink" xfId="350" builtinId="9" hidden="1"/>
    <cellStyle name="Followed Hyperlink" xfId="351" builtinId="9" hidden="1"/>
    <cellStyle name="Followed Hyperlink" xfId="352" builtinId="9" hidden="1"/>
    <cellStyle name="Followed Hyperlink" xfId="353" builtinId="9" hidden="1"/>
    <cellStyle name="Followed Hyperlink" xfId="354" builtinId="9" hidden="1"/>
    <cellStyle name="Followed Hyperlink" xfId="355" builtinId="9" hidden="1"/>
    <cellStyle name="Followed Hyperlink" xfId="356" builtinId="9" hidden="1"/>
    <cellStyle name="Followed Hyperlink" xfId="357" builtinId="9" hidden="1"/>
    <cellStyle name="Followed Hyperlink" xfId="358" builtinId="9" hidden="1"/>
    <cellStyle name="Followed Hyperlink" xfId="359" builtinId="9" hidden="1"/>
    <cellStyle name="Followed Hyperlink" xfId="360" builtinId="9" hidden="1"/>
    <cellStyle name="Followed Hyperlink" xfId="361" builtinId="9" hidden="1"/>
    <cellStyle name="Followed Hyperlink" xfId="362" builtinId="9" hidden="1"/>
    <cellStyle name="Followed Hyperlink" xfId="363" builtinId="9" hidden="1"/>
    <cellStyle name="Followed Hyperlink" xfId="364" builtinId="9" hidden="1"/>
    <cellStyle name="Followed Hyperlink" xfId="365" builtinId="9" hidden="1"/>
    <cellStyle name="Followed Hyperlink" xfId="366" builtinId="9" hidden="1"/>
    <cellStyle name="Followed Hyperlink" xfId="367" builtinId="9" hidden="1"/>
    <cellStyle name="Followed Hyperlink" xfId="368" builtinId="9" hidden="1"/>
    <cellStyle name="Followed Hyperlink" xfId="369" builtinId="9" hidden="1"/>
    <cellStyle name="Followed Hyperlink" xfId="370" builtinId="9" hidden="1"/>
    <cellStyle name="Followed Hyperlink" xfId="371" builtinId="9" hidden="1"/>
    <cellStyle name="Followed Hyperlink" xfId="372" builtinId="9" hidden="1"/>
    <cellStyle name="Followed Hyperlink" xfId="373" builtinId="9" hidden="1"/>
    <cellStyle name="Followed Hyperlink" xfId="374" builtinId="9" hidden="1"/>
    <cellStyle name="Followed Hyperlink" xfId="375" builtinId="9" hidden="1"/>
    <cellStyle name="Followed Hyperlink" xfId="376" builtinId="9" hidden="1"/>
    <cellStyle name="Followed Hyperlink" xfId="377" builtinId="9" hidden="1"/>
    <cellStyle name="Followed Hyperlink" xfId="378" builtinId="9" hidden="1"/>
    <cellStyle name="Followed Hyperlink" xfId="379" builtinId="9" hidden="1"/>
    <cellStyle name="Followed Hyperlink" xfId="380" builtinId="9" hidden="1"/>
    <cellStyle name="Followed Hyperlink" xfId="381" builtinId="9" hidden="1"/>
    <cellStyle name="Followed Hyperlink" xfId="382" builtinId="9" hidden="1"/>
    <cellStyle name="Followed Hyperlink" xfId="383" builtinId="9" hidden="1"/>
    <cellStyle name="Followed Hyperlink" xfId="384" builtinId="9" hidden="1"/>
    <cellStyle name="Followed Hyperlink" xfId="385" builtinId="9" hidden="1"/>
    <cellStyle name="Followed Hyperlink" xfId="386" builtinId="9" hidden="1"/>
    <cellStyle name="Followed Hyperlink" xfId="387" builtinId="9" hidden="1"/>
    <cellStyle name="Followed Hyperlink" xfId="388" builtinId="9" hidden="1"/>
    <cellStyle name="Followed Hyperlink" xfId="389" builtinId="9" hidden="1"/>
    <cellStyle name="Followed Hyperlink" xfId="390" builtinId="9" hidden="1"/>
    <cellStyle name="Followed Hyperlink" xfId="391" builtinId="9" hidden="1"/>
    <cellStyle name="Followed Hyperlink" xfId="392" builtinId="9" hidden="1"/>
    <cellStyle name="Followed Hyperlink" xfId="393" builtinId="9" hidden="1"/>
    <cellStyle name="Followed Hyperlink" xfId="394" builtinId="9" hidden="1"/>
    <cellStyle name="Followed Hyperlink" xfId="395" builtinId="9" hidden="1"/>
    <cellStyle name="Followed Hyperlink" xfId="396" builtinId="9" hidden="1"/>
    <cellStyle name="Followed Hyperlink" xfId="397" builtinId="9" hidden="1"/>
    <cellStyle name="Followed Hyperlink" xfId="398" builtinId="9" hidden="1"/>
    <cellStyle name="Followed Hyperlink" xfId="399" builtinId="9" hidden="1"/>
    <cellStyle name="Followed Hyperlink" xfId="400" builtinId="9" hidden="1"/>
    <cellStyle name="Followed Hyperlink" xfId="401" builtinId="9" hidden="1"/>
    <cellStyle name="Followed Hyperlink" xfId="402" builtinId="9" hidden="1"/>
    <cellStyle name="Followed Hyperlink" xfId="403" builtinId="9" hidden="1"/>
    <cellStyle name="Followed Hyperlink" xfId="404" builtinId="9" hidden="1"/>
    <cellStyle name="Followed Hyperlink" xfId="405" builtinId="9" hidden="1"/>
    <cellStyle name="Followed Hyperlink" xfId="406" builtinId="9" hidden="1"/>
    <cellStyle name="Followed Hyperlink" xfId="407" builtinId="9" hidden="1"/>
    <cellStyle name="Followed Hyperlink" xfId="408" builtinId="9" hidden="1"/>
    <cellStyle name="Followed Hyperlink" xfId="409" builtinId="9" hidden="1"/>
    <cellStyle name="Followed Hyperlink" xfId="410" builtinId="9" hidden="1"/>
    <cellStyle name="Followed Hyperlink" xfId="411" builtinId="9" hidden="1"/>
    <cellStyle name="Followed Hyperlink" xfId="412" builtinId="9" hidden="1"/>
    <cellStyle name="Followed Hyperlink" xfId="413" builtinId="9" hidden="1"/>
    <cellStyle name="Followed Hyperlink" xfId="414" builtinId="9" hidden="1"/>
    <cellStyle name="Followed Hyperlink" xfId="415" builtinId="9" hidden="1"/>
    <cellStyle name="Followed Hyperlink" xfId="416" builtinId="9" hidden="1"/>
    <cellStyle name="Followed Hyperlink" xfId="417" builtinId="9" hidden="1"/>
    <cellStyle name="Followed Hyperlink" xfId="418" builtinId="9" hidden="1"/>
    <cellStyle name="Followed Hyperlink" xfId="419" builtinId="9" hidden="1"/>
    <cellStyle name="Followed Hyperlink" xfId="420" builtinId="9" hidden="1"/>
    <cellStyle name="Followed Hyperlink" xfId="421" builtinId="9" hidden="1"/>
    <cellStyle name="Followed Hyperlink" xfId="422" builtinId="9" hidden="1"/>
    <cellStyle name="Followed Hyperlink" xfId="423" builtinId="9" hidden="1"/>
    <cellStyle name="Followed Hyperlink" xfId="424" builtinId="9" hidden="1"/>
    <cellStyle name="Followed Hyperlink" xfId="425" builtinId="9" hidden="1"/>
    <cellStyle name="Followed Hyperlink" xfId="426" builtinId="9" hidden="1"/>
    <cellStyle name="Followed Hyperlink" xfId="427" builtinId="9" hidden="1"/>
    <cellStyle name="Followed Hyperlink" xfId="428" builtinId="9" hidden="1"/>
    <cellStyle name="Followed Hyperlink" xfId="429" builtinId="9" hidden="1"/>
    <cellStyle name="Followed Hyperlink" xfId="430" builtinId="9" hidden="1"/>
    <cellStyle name="Followed Hyperlink" xfId="431" builtinId="9" hidden="1"/>
    <cellStyle name="Followed Hyperlink" xfId="432" builtinId="9" hidden="1"/>
    <cellStyle name="Followed Hyperlink" xfId="433" builtinId="9" hidden="1"/>
    <cellStyle name="Followed Hyperlink" xfId="434" builtinId="9" hidden="1"/>
    <cellStyle name="Followed Hyperlink" xfId="435" builtinId="9" hidden="1"/>
    <cellStyle name="Followed Hyperlink" xfId="436" builtinId="9" hidden="1"/>
    <cellStyle name="Followed Hyperlink" xfId="437" builtinId="9" hidden="1"/>
    <cellStyle name="Followed Hyperlink" xfId="438" builtinId="9" hidden="1"/>
    <cellStyle name="Followed Hyperlink" xfId="439" builtinId="9" hidden="1"/>
    <cellStyle name="Followed Hyperlink" xfId="440" builtinId="9" hidden="1"/>
    <cellStyle name="Followed Hyperlink" xfId="441" builtinId="9" hidden="1"/>
    <cellStyle name="Followed Hyperlink" xfId="442" builtinId="9" hidden="1"/>
    <cellStyle name="Followed Hyperlink" xfId="443" builtinId="9" hidden="1"/>
    <cellStyle name="Followed Hyperlink" xfId="444" builtinId="9" hidden="1"/>
    <cellStyle name="Followed Hyperlink" xfId="445" builtinId="9" hidden="1"/>
    <cellStyle name="Followed Hyperlink" xfId="446" builtinId="9" hidden="1"/>
    <cellStyle name="Followed Hyperlink" xfId="447" builtinId="9" hidden="1"/>
    <cellStyle name="Followed Hyperlink" xfId="448" builtinId="9" hidden="1"/>
    <cellStyle name="Followed Hyperlink" xfId="449" builtinId="9" hidden="1"/>
    <cellStyle name="Followed Hyperlink" xfId="450" builtinId="9" hidden="1"/>
    <cellStyle name="Followed Hyperlink" xfId="451" builtinId="9" hidden="1"/>
    <cellStyle name="Followed Hyperlink" xfId="452" builtinId="9" hidden="1"/>
    <cellStyle name="Followed Hyperlink" xfId="453" builtinId="9" hidden="1"/>
    <cellStyle name="Followed Hyperlink" xfId="454" builtinId="9" hidden="1"/>
    <cellStyle name="Followed Hyperlink" xfId="455" builtinId="9" hidden="1"/>
    <cellStyle name="Followed Hyperlink" xfId="456" builtinId="9" hidden="1"/>
    <cellStyle name="Followed Hyperlink" xfId="457" builtinId="9" hidden="1"/>
    <cellStyle name="Followed Hyperlink" xfId="458" builtinId="9" hidden="1"/>
    <cellStyle name="Followed Hyperlink" xfId="459" builtinId="9" hidden="1"/>
    <cellStyle name="Followed Hyperlink" xfId="460" builtinId="9" hidden="1"/>
    <cellStyle name="Followed Hyperlink" xfId="461" builtinId="9" hidden="1"/>
    <cellStyle name="Followed Hyperlink" xfId="462" builtinId="9" hidden="1"/>
    <cellStyle name="Followed Hyperlink" xfId="463" builtinId="9" hidden="1"/>
    <cellStyle name="Followed Hyperlink" xfId="464" builtinId="9" hidden="1"/>
    <cellStyle name="Followed Hyperlink" xfId="465" builtinId="9" hidden="1"/>
    <cellStyle name="Followed Hyperlink" xfId="466" builtinId="9" hidden="1"/>
    <cellStyle name="Followed Hyperlink" xfId="467" builtinId="9" hidden="1"/>
    <cellStyle name="Followed Hyperlink" xfId="468" builtinId="9" hidden="1"/>
    <cellStyle name="Followed Hyperlink" xfId="469" builtinId="9" hidden="1"/>
    <cellStyle name="Followed Hyperlink" xfId="470" builtinId="9" hidden="1"/>
    <cellStyle name="Followed Hyperlink" xfId="471" builtinId="9" hidden="1"/>
    <cellStyle name="Followed Hyperlink" xfId="472" builtinId="9" hidden="1"/>
    <cellStyle name="Followed Hyperlink" xfId="473" builtinId="9" hidden="1"/>
    <cellStyle name="Followed Hyperlink" xfId="474" builtinId="9" hidden="1"/>
    <cellStyle name="Followed Hyperlink" xfId="475" builtinId="9" hidden="1"/>
    <cellStyle name="Followed Hyperlink" xfId="476" builtinId="9" hidden="1"/>
    <cellStyle name="Followed Hyperlink" xfId="477" builtinId="9" hidden="1"/>
    <cellStyle name="Followed Hyperlink" xfId="478" builtinId="9" hidden="1"/>
    <cellStyle name="Followed Hyperlink" xfId="479" builtinId="9" hidden="1"/>
    <cellStyle name="Followed Hyperlink" xfId="480" builtinId="9" hidden="1"/>
    <cellStyle name="Followed Hyperlink" xfId="481" builtinId="9" hidden="1"/>
    <cellStyle name="Followed Hyperlink" xfId="482" builtinId="9" hidden="1"/>
    <cellStyle name="Followed Hyperlink" xfId="483" builtinId="9" hidden="1"/>
    <cellStyle name="Followed Hyperlink" xfId="484" builtinId="9" hidden="1"/>
    <cellStyle name="Followed Hyperlink" xfId="485" builtinId="9" hidden="1"/>
    <cellStyle name="Followed Hyperlink" xfId="486" builtinId="9" hidden="1"/>
    <cellStyle name="Followed Hyperlink" xfId="487" builtinId="9" hidden="1"/>
    <cellStyle name="Followed Hyperlink" xfId="488" builtinId="9" hidden="1"/>
    <cellStyle name="Followed Hyperlink" xfId="489" builtinId="9" hidden="1"/>
    <cellStyle name="Followed Hyperlink" xfId="490" builtinId="9" hidden="1"/>
    <cellStyle name="Followed Hyperlink" xfId="491" builtinId="9" hidden="1"/>
    <cellStyle name="Followed Hyperlink" xfId="492" builtinId="9" hidden="1"/>
    <cellStyle name="Followed Hyperlink" xfId="493" builtinId="9" hidden="1"/>
    <cellStyle name="Followed Hyperlink" xfId="494" builtinId="9" hidden="1"/>
    <cellStyle name="Followed Hyperlink" xfId="495" builtinId="9" hidden="1"/>
    <cellStyle name="Followed Hyperlink" xfId="496" builtinId="9" hidden="1"/>
    <cellStyle name="Followed Hyperlink" xfId="497" builtinId="9" hidden="1"/>
    <cellStyle name="Followed Hyperlink" xfId="498" builtinId="9" hidden="1"/>
    <cellStyle name="Followed Hyperlink" xfId="499" builtinId="9" hidden="1"/>
    <cellStyle name="Followed Hyperlink" xfId="500" builtinId="9" hidden="1"/>
    <cellStyle name="Followed Hyperlink" xfId="501" builtinId="9" hidden="1"/>
    <cellStyle name="Followed Hyperlink" xfId="502" builtinId="9" hidden="1"/>
    <cellStyle name="Followed Hyperlink" xfId="503" builtinId="9" hidden="1"/>
    <cellStyle name="Followed Hyperlink" xfId="504" builtinId="9" hidden="1"/>
    <cellStyle name="Followed Hyperlink" xfId="505" builtinId="9" hidden="1"/>
    <cellStyle name="Followed Hyperlink" xfId="506" builtinId="9" hidden="1"/>
    <cellStyle name="Followed Hyperlink" xfId="507" builtinId="9" hidden="1"/>
    <cellStyle name="Followed Hyperlink" xfId="508" builtinId="9" hidden="1"/>
    <cellStyle name="Followed Hyperlink" xfId="509" builtinId="9" hidden="1"/>
    <cellStyle name="Followed Hyperlink" xfId="510" builtinId="9" hidden="1"/>
    <cellStyle name="Followed Hyperlink" xfId="511" builtinId="9" hidden="1"/>
    <cellStyle name="Followed Hyperlink" xfId="512" builtinId="9" hidden="1"/>
    <cellStyle name="Followed Hyperlink" xfId="513" builtinId="9" hidden="1"/>
    <cellStyle name="Followed Hyperlink" xfId="514" builtinId="9" hidden="1"/>
    <cellStyle name="Followed Hyperlink" xfId="515" builtinId="9" hidden="1"/>
    <cellStyle name="Followed Hyperlink" xfId="516" builtinId="9" hidden="1"/>
    <cellStyle name="Followed Hyperlink" xfId="517" builtinId="9" hidden="1"/>
    <cellStyle name="Followed Hyperlink" xfId="518" builtinId="9" hidden="1"/>
    <cellStyle name="Followed Hyperlink" xfId="519" builtinId="9" hidden="1"/>
    <cellStyle name="Followed Hyperlink" xfId="520" builtinId="9" hidden="1"/>
    <cellStyle name="Followed Hyperlink" xfId="521" builtinId="9" hidden="1"/>
    <cellStyle name="Followed Hyperlink" xfId="522" builtinId="9" hidden="1"/>
    <cellStyle name="Followed Hyperlink" xfId="523" builtinId="9" hidden="1"/>
    <cellStyle name="Followed Hyperlink" xfId="524" builtinId="9" hidden="1"/>
    <cellStyle name="Followed Hyperlink" xfId="525" builtinId="9" hidden="1"/>
    <cellStyle name="Followed Hyperlink" xfId="526" builtinId="9" hidden="1"/>
    <cellStyle name="Followed Hyperlink" xfId="527" builtinId="9" hidden="1"/>
    <cellStyle name="Followed Hyperlink" xfId="528" builtinId="9" hidden="1"/>
    <cellStyle name="Followed Hyperlink" xfId="529" builtinId="9" hidden="1"/>
    <cellStyle name="Followed Hyperlink" xfId="530" builtinId="9" hidden="1"/>
    <cellStyle name="Followed Hyperlink" xfId="531" builtinId="9" hidden="1"/>
    <cellStyle name="Followed Hyperlink" xfId="532" builtinId="9" hidden="1"/>
    <cellStyle name="Followed Hyperlink" xfId="533" builtinId="9" hidden="1"/>
    <cellStyle name="Followed Hyperlink" xfId="534" builtinId="9" hidden="1"/>
    <cellStyle name="Followed Hyperlink" xfId="535" builtinId="9" hidden="1"/>
    <cellStyle name="Followed Hyperlink" xfId="536" builtinId="9" hidden="1"/>
    <cellStyle name="Followed Hyperlink" xfId="537" builtinId="9" hidden="1"/>
    <cellStyle name="Followed Hyperlink" xfId="538" builtinId="9" hidden="1"/>
    <cellStyle name="Followed Hyperlink" xfId="539" builtinId="9" hidden="1"/>
    <cellStyle name="Followed Hyperlink" xfId="540" builtinId="9" hidden="1"/>
    <cellStyle name="Followed Hyperlink" xfId="541" builtinId="9" hidden="1"/>
    <cellStyle name="Followed Hyperlink" xfId="542" builtinId="9" hidden="1"/>
    <cellStyle name="Followed Hyperlink" xfId="543" builtinId="9" hidden="1"/>
    <cellStyle name="Followed Hyperlink" xfId="544" builtinId="9" hidden="1"/>
    <cellStyle name="Followed Hyperlink" xfId="545" builtinId="9" hidden="1"/>
    <cellStyle name="Followed Hyperlink" xfId="546" builtinId="9" hidden="1"/>
    <cellStyle name="Followed Hyperlink" xfId="547" builtinId="9" hidden="1"/>
    <cellStyle name="Followed Hyperlink" xfId="548" builtinId="9" hidden="1"/>
    <cellStyle name="Followed Hyperlink" xfId="549" builtinId="9" hidden="1"/>
    <cellStyle name="Followed Hyperlink" xfId="550" builtinId="9" hidden="1"/>
    <cellStyle name="Followed Hyperlink" xfId="551" builtinId="9" hidden="1"/>
    <cellStyle name="Followed Hyperlink" xfId="552" builtinId="9" hidden="1"/>
    <cellStyle name="Followed Hyperlink" xfId="553" builtinId="9" hidden="1"/>
    <cellStyle name="Followed Hyperlink" xfId="554" builtinId="9" hidden="1"/>
    <cellStyle name="Followed Hyperlink" xfId="555" builtinId="9" hidden="1"/>
    <cellStyle name="Followed Hyperlink" xfId="556" builtinId="9" hidden="1"/>
    <cellStyle name="Followed Hyperlink" xfId="557" builtinId="9" hidden="1"/>
    <cellStyle name="Followed Hyperlink" xfId="558" builtinId="9" hidden="1"/>
    <cellStyle name="Followed Hyperlink" xfId="559" builtinId="9" hidden="1"/>
    <cellStyle name="Followed Hyperlink" xfId="560" builtinId="9" hidden="1"/>
    <cellStyle name="Followed Hyperlink" xfId="561" builtinId="9" hidden="1"/>
    <cellStyle name="Followed Hyperlink" xfId="562" builtinId="9" hidden="1"/>
    <cellStyle name="Followed Hyperlink" xfId="563" builtinId="9" hidden="1"/>
    <cellStyle name="Followed Hyperlink" xfId="564" builtinId="9" hidden="1"/>
    <cellStyle name="Followed Hyperlink" xfId="565" builtinId="9" hidden="1"/>
    <cellStyle name="Followed Hyperlink" xfId="566" builtinId="9" hidden="1"/>
    <cellStyle name="Followed Hyperlink" xfId="567" builtinId="9" hidden="1"/>
    <cellStyle name="Followed Hyperlink" xfId="568" builtinId="9" hidden="1"/>
    <cellStyle name="Followed Hyperlink" xfId="569" builtinId="9" hidden="1"/>
    <cellStyle name="Followed Hyperlink" xfId="570" builtinId="9" hidden="1"/>
    <cellStyle name="Followed Hyperlink" xfId="571" builtinId="9" hidden="1"/>
    <cellStyle name="Followed Hyperlink" xfId="572" builtinId="9" hidden="1"/>
    <cellStyle name="Followed Hyperlink" xfId="573" builtinId="9" hidden="1"/>
    <cellStyle name="Followed Hyperlink" xfId="574" builtinId="9" hidden="1"/>
    <cellStyle name="Followed Hyperlink" xfId="575" builtinId="9" hidden="1"/>
    <cellStyle name="Followed Hyperlink" xfId="576" builtinId="9" hidden="1"/>
    <cellStyle name="Followed Hyperlink" xfId="577" builtinId="9" hidden="1"/>
    <cellStyle name="Followed Hyperlink" xfId="578" builtinId="9" hidden="1"/>
    <cellStyle name="Followed Hyperlink" xfId="579" builtinId="9" hidden="1"/>
    <cellStyle name="Followed Hyperlink" xfId="580" builtinId="9" hidden="1"/>
    <cellStyle name="Followed Hyperlink" xfId="581" builtinId="9" hidden="1"/>
    <cellStyle name="Followed Hyperlink" xfId="582" builtinId="9" hidden="1"/>
    <cellStyle name="Followed Hyperlink" xfId="583" builtinId="9" hidden="1"/>
    <cellStyle name="Followed Hyperlink" xfId="584" builtinId="9" hidden="1"/>
    <cellStyle name="Followed Hyperlink" xfId="585" builtinId="9" hidden="1"/>
    <cellStyle name="Followed Hyperlink" xfId="586" builtinId="9" hidden="1"/>
    <cellStyle name="Followed Hyperlink" xfId="587" builtinId="9" hidden="1"/>
    <cellStyle name="Followed Hyperlink" xfId="588" builtinId="9" hidden="1"/>
    <cellStyle name="Followed Hyperlink" xfId="589" builtinId="9" hidden="1"/>
    <cellStyle name="Followed Hyperlink" xfId="590" builtinId="9" hidden="1"/>
    <cellStyle name="Followed Hyperlink" xfId="591" builtinId="9" hidden="1"/>
    <cellStyle name="Followed Hyperlink" xfId="592" builtinId="9" hidden="1"/>
    <cellStyle name="Followed Hyperlink" xfId="593" builtinId="9" hidden="1"/>
    <cellStyle name="Followed Hyperlink" xfId="594" builtinId="9" hidden="1"/>
    <cellStyle name="Followed Hyperlink" xfId="595" builtinId="9" hidden="1"/>
    <cellStyle name="Followed Hyperlink" xfId="596" builtinId="9" hidden="1"/>
    <cellStyle name="Followed Hyperlink" xfId="597" builtinId="9" hidden="1"/>
    <cellStyle name="Followed Hyperlink" xfId="598" builtinId="9" hidden="1"/>
    <cellStyle name="Followed Hyperlink" xfId="599" builtinId="9" hidden="1"/>
    <cellStyle name="Followed Hyperlink" xfId="600" builtinId="9" hidden="1"/>
    <cellStyle name="Followed Hyperlink" xfId="601" builtinId="9" hidden="1"/>
    <cellStyle name="Followed Hyperlink" xfId="602" builtinId="9" hidden="1"/>
    <cellStyle name="Followed Hyperlink" xfId="603" builtinId="9" hidden="1"/>
    <cellStyle name="Followed Hyperlink" xfId="604" builtinId="9" hidden="1"/>
    <cellStyle name="Followed Hyperlink" xfId="605" builtinId="9" hidden="1"/>
    <cellStyle name="Followed Hyperlink" xfId="606" builtinId="9" hidden="1"/>
    <cellStyle name="Followed Hyperlink" xfId="607" builtinId="9" hidden="1"/>
    <cellStyle name="Followed Hyperlink" xfId="608" builtinId="9" hidden="1"/>
    <cellStyle name="Followed Hyperlink" xfId="609" builtinId="9" hidden="1"/>
    <cellStyle name="Followed Hyperlink" xfId="610" builtinId="9" hidden="1"/>
    <cellStyle name="Followed Hyperlink" xfId="611" builtinId="9" hidden="1"/>
    <cellStyle name="Followed Hyperlink" xfId="612" builtinId="9" hidden="1"/>
    <cellStyle name="Followed Hyperlink" xfId="613" builtinId="9" hidden="1"/>
    <cellStyle name="Followed Hyperlink" xfId="614" builtinId="9" hidden="1"/>
    <cellStyle name="Followed Hyperlink" xfId="615" builtinId="9" hidden="1"/>
    <cellStyle name="Followed Hyperlink" xfId="616" builtinId="9" hidden="1"/>
    <cellStyle name="Followed Hyperlink" xfId="617" builtinId="9" hidden="1"/>
    <cellStyle name="Followed Hyperlink" xfId="618" builtinId="9" hidden="1"/>
    <cellStyle name="Followed Hyperlink" xfId="619" builtinId="9" hidden="1"/>
    <cellStyle name="Followed Hyperlink" xfId="620" builtinId="9" hidden="1"/>
    <cellStyle name="Followed Hyperlink" xfId="621" builtinId="9" hidden="1"/>
    <cellStyle name="Followed Hyperlink" xfId="622" builtinId="9" hidden="1"/>
    <cellStyle name="Followed Hyperlink" xfId="623" builtinId="9" hidden="1"/>
    <cellStyle name="Followed Hyperlink" xfId="624" builtinId="9" hidden="1"/>
    <cellStyle name="Followed Hyperlink" xfId="625" builtinId="9" hidden="1"/>
    <cellStyle name="Followed Hyperlink" xfId="626" builtinId="9" hidden="1"/>
    <cellStyle name="Followed Hyperlink" xfId="627" builtinId="9" hidden="1"/>
    <cellStyle name="Followed Hyperlink" xfId="628" builtinId="9" hidden="1"/>
    <cellStyle name="Followed Hyperlink" xfId="629" builtinId="9" hidden="1"/>
    <cellStyle name="Followed Hyperlink" xfId="630" builtinId="9" hidden="1"/>
    <cellStyle name="Followed Hyperlink" xfId="631" builtinId="9" hidden="1"/>
    <cellStyle name="Followed Hyperlink" xfId="632" builtinId="9" hidden="1"/>
    <cellStyle name="Followed Hyperlink" xfId="633" builtinId="9" hidden="1"/>
    <cellStyle name="Followed Hyperlink" xfId="634" builtinId="9" hidden="1"/>
    <cellStyle name="Followed Hyperlink" xfId="635" builtinId="9" hidden="1"/>
    <cellStyle name="Followed Hyperlink" xfId="636" builtinId="9" hidden="1"/>
    <cellStyle name="Followed Hyperlink" xfId="637" builtinId="9" hidden="1"/>
    <cellStyle name="Followed Hyperlink" xfId="638" builtinId="9" hidden="1"/>
    <cellStyle name="Followed Hyperlink" xfId="639" builtinId="9" hidden="1"/>
    <cellStyle name="Followed Hyperlink" xfId="640" builtinId="9" hidden="1"/>
    <cellStyle name="Followed Hyperlink" xfId="641" builtinId="9" hidden="1"/>
    <cellStyle name="Followed Hyperlink" xfId="642" builtinId="9" hidden="1"/>
    <cellStyle name="Followed Hyperlink" xfId="643" builtinId="9" hidden="1"/>
    <cellStyle name="Followed Hyperlink" xfId="644" builtinId="9" hidden="1"/>
    <cellStyle name="Followed Hyperlink" xfId="645" builtinId="9" hidden="1"/>
    <cellStyle name="Followed Hyperlink" xfId="646" builtinId="9" hidden="1"/>
    <cellStyle name="Followed Hyperlink" xfId="647" builtinId="9" hidden="1"/>
    <cellStyle name="Followed Hyperlink" xfId="648" builtinId="9" hidden="1"/>
    <cellStyle name="Followed Hyperlink" xfId="649" builtinId="9" hidden="1"/>
    <cellStyle name="Followed Hyperlink" xfId="650" builtinId="9" hidden="1"/>
    <cellStyle name="Followed Hyperlink" xfId="651" builtinId="9" hidden="1"/>
    <cellStyle name="Followed Hyperlink" xfId="652" builtinId="9" hidden="1"/>
    <cellStyle name="Followed Hyperlink" xfId="653" builtinId="9" hidden="1"/>
    <cellStyle name="Followed Hyperlink" xfId="654" builtinId="9" hidden="1"/>
    <cellStyle name="Followed Hyperlink" xfId="655" builtinId="9" hidden="1"/>
    <cellStyle name="Followed Hyperlink" xfId="656" builtinId="9" hidden="1"/>
    <cellStyle name="Followed Hyperlink" xfId="657" builtinId="9" hidden="1"/>
    <cellStyle name="Followed Hyperlink" xfId="658" builtinId="9" hidden="1"/>
    <cellStyle name="Followed Hyperlink" xfId="659" builtinId="9" hidden="1"/>
    <cellStyle name="Followed Hyperlink" xfId="660" builtinId="9" hidden="1"/>
    <cellStyle name="Followed Hyperlink" xfId="661" builtinId="9" hidden="1"/>
    <cellStyle name="Followed Hyperlink" xfId="662" builtinId="9" hidden="1"/>
    <cellStyle name="Followed Hyperlink" xfId="663" builtinId="9" hidden="1"/>
    <cellStyle name="Followed Hyperlink" xfId="664" builtinId="9" hidden="1"/>
    <cellStyle name="Followed Hyperlink" xfId="665" builtinId="9" hidden="1"/>
    <cellStyle name="Followed Hyperlink" xfId="666" builtinId="9" hidden="1"/>
    <cellStyle name="Followed Hyperlink" xfId="667" builtinId="9" hidden="1"/>
    <cellStyle name="Followed Hyperlink" xfId="668" builtinId="9" hidden="1"/>
    <cellStyle name="Followed Hyperlink" xfId="669" builtinId="9" hidden="1"/>
    <cellStyle name="Followed Hyperlink" xfId="670" builtinId="9" hidden="1"/>
    <cellStyle name="Followed Hyperlink" xfId="671" builtinId="9" hidden="1"/>
    <cellStyle name="Followed Hyperlink" xfId="672" builtinId="9" hidden="1"/>
    <cellStyle name="Followed Hyperlink" xfId="673" builtinId="9" hidden="1"/>
    <cellStyle name="Followed Hyperlink" xfId="674" builtinId="9" hidden="1"/>
    <cellStyle name="Followed Hyperlink" xfId="675" builtinId="9" hidden="1"/>
    <cellStyle name="Followed Hyperlink" xfId="676" builtinId="9" hidden="1"/>
    <cellStyle name="Followed Hyperlink" xfId="677" builtinId="9" hidden="1"/>
    <cellStyle name="Followed Hyperlink" xfId="678" builtinId="9" hidden="1"/>
    <cellStyle name="Followed Hyperlink" xfId="679" builtinId="9" hidden="1"/>
    <cellStyle name="Followed Hyperlink" xfId="680" builtinId="9" hidden="1"/>
    <cellStyle name="Followed Hyperlink" xfId="681" builtinId="9" hidden="1"/>
    <cellStyle name="Followed Hyperlink" xfId="682" builtinId="9" hidden="1"/>
    <cellStyle name="Followed Hyperlink" xfId="683" builtinId="9" hidden="1"/>
    <cellStyle name="Followed Hyperlink" xfId="684" builtinId="9" hidden="1"/>
    <cellStyle name="Followed Hyperlink" xfId="685" builtinId="9" hidden="1"/>
    <cellStyle name="Followed Hyperlink" xfId="686" builtinId="9" hidden="1"/>
    <cellStyle name="Followed Hyperlink" xfId="687" builtinId="9" hidden="1"/>
    <cellStyle name="Followed Hyperlink" xfId="688" builtinId="9" hidden="1"/>
    <cellStyle name="Followed Hyperlink" xfId="689" builtinId="9" hidden="1"/>
    <cellStyle name="Followed Hyperlink" xfId="690" builtinId="9" hidden="1"/>
    <cellStyle name="Followed Hyperlink" xfId="691" builtinId="9" hidden="1"/>
    <cellStyle name="Followed Hyperlink" xfId="692" builtinId="9" hidden="1"/>
    <cellStyle name="Followed Hyperlink" xfId="693" builtinId="9" hidden="1"/>
    <cellStyle name="Followed Hyperlink" xfId="694" builtinId="9" hidden="1"/>
    <cellStyle name="Followed Hyperlink" xfId="695" builtinId="9" hidden="1"/>
    <cellStyle name="Followed Hyperlink" xfId="696" builtinId="9" hidden="1"/>
    <cellStyle name="Followed Hyperlink" xfId="697" builtinId="9" hidden="1"/>
    <cellStyle name="Followed Hyperlink" xfId="698" builtinId="9" hidden="1"/>
    <cellStyle name="Followed Hyperlink" xfId="699" builtinId="9" hidden="1"/>
    <cellStyle name="Followed Hyperlink" xfId="700" builtinId="9" hidden="1"/>
    <cellStyle name="Followed Hyperlink" xfId="701" builtinId="9" hidden="1"/>
    <cellStyle name="Followed Hyperlink" xfId="702" builtinId="9" hidden="1"/>
    <cellStyle name="Followed Hyperlink" xfId="703" builtinId="9" hidden="1"/>
    <cellStyle name="Followed Hyperlink" xfId="704" builtinId="9" hidden="1"/>
    <cellStyle name="Followed Hyperlink" xfId="705" builtinId="9" hidden="1"/>
    <cellStyle name="Followed Hyperlink" xfId="706" builtinId="9" hidden="1"/>
    <cellStyle name="Followed Hyperlink" xfId="707" builtinId="9" hidden="1"/>
    <cellStyle name="Hyperlink" xfId="4" builtinId="8"/>
    <cellStyle name="Normal" xfId="0" builtinId="0"/>
    <cellStyle name="Normal_Sheet1" xfId="3"/>
    <cellStyle name="Percent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615157</xdr:colOff>
      <xdr:row>273</xdr:row>
      <xdr:rowOff>79375</xdr:rowOff>
    </xdr:from>
    <xdr:to>
      <xdr:col>4</xdr:col>
      <xdr:colOff>615157</xdr:colOff>
      <xdr:row>273</xdr:row>
      <xdr:rowOff>337343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2634457" y="79375"/>
          <a:ext cx="4711700" cy="25796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900" kern="10" spc="0" baseline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 pitchFamily="34" charset="0"/>
            </a:rPr>
            <a:t>OFFICIAL   RV  Update  Bulletin    Jan 24,</a:t>
          </a:r>
          <a:r>
            <a:rPr lang="en-US" sz="900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 pitchFamily="34" charset="0"/>
            </a:rPr>
            <a:t> 2013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ipetaisto@fs.fed.us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N245"/>
  <sheetViews>
    <sheetView zoomScale="125" workbookViewId="0">
      <pane ySplit="7" topLeftCell="A179" activePane="bottomLeft" state="frozen"/>
      <selection pane="bottomLeft" activeCell="AB27" sqref="AB27"/>
    </sheetView>
  </sheetViews>
  <sheetFormatPr baseColWidth="10" defaultRowHeight="13" x14ac:dyDescent="0.15"/>
  <cols>
    <col min="1" max="1" width="13.33203125" customWidth="1"/>
    <col min="2" max="2" width="10.6640625" customWidth="1"/>
    <col min="3" max="3" width="8.1640625" customWidth="1"/>
    <col min="4" max="4" width="10.5" customWidth="1"/>
    <col min="11" max="11" width="8.6640625" customWidth="1"/>
    <col min="12" max="13" width="8.1640625" customWidth="1"/>
    <col min="14" max="14" width="6" customWidth="1"/>
    <col min="15" max="15" width="8.33203125" customWidth="1"/>
    <col min="16" max="16" width="7.1640625" customWidth="1"/>
    <col min="17" max="18" width="4.6640625" customWidth="1"/>
    <col min="19" max="19" width="5.83203125" customWidth="1"/>
    <col min="20" max="20" width="6.5" customWidth="1"/>
    <col min="21" max="21" width="5.6640625" customWidth="1"/>
    <col min="22" max="22" width="5.5" customWidth="1"/>
    <col min="23" max="23" width="6.5" customWidth="1"/>
    <col min="24" max="24" width="6.83203125" customWidth="1"/>
    <col min="25" max="25" width="7.1640625" customWidth="1"/>
    <col min="26" max="26" width="6.5" customWidth="1"/>
    <col min="27" max="28" width="7.5" customWidth="1"/>
    <col min="29" max="29" width="5.83203125" customWidth="1"/>
    <col min="30" max="30" width="6.83203125" customWidth="1"/>
    <col min="31" max="31" width="8.1640625" customWidth="1"/>
    <col min="32" max="32" width="7.5" customWidth="1"/>
    <col min="33" max="33" width="6.1640625" customWidth="1"/>
    <col min="34" max="34" width="8.33203125" customWidth="1"/>
    <col min="35" max="35" width="7.6640625" customWidth="1"/>
    <col min="36" max="36" width="7.33203125" customWidth="1"/>
    <col min="37" max="37" width="7" customWidth="1"/>
    <col min="38" max="38" width="10.33203125" customWidth="1"/>
    <col min="39" max="39" width="10.6640625" customWidth="1"/>
  </cols>
  <sheetData>
    <row r="1" spans="1:40" x14ac:dyDescent="0.15">
      <c r="AG1" s="1"/>
      <c r="AH1" s="2"/>
      <c r="AI1" s="2"/>
      <c r="AJ1" s="2"/>
      <c r="AK1" s="2"/>
      <c r="AL1" s="2"/>
      <c r="AM1" s="2"/>
    </row>
    <row r="2" spans="1:40" x14ac:dyDescent="0.15">
      <c r="A2" s="3">
        <v>39587</v>
      </c>
      <c r="U2" t="s">
        <v>13</v>
      </c>
      <c r="V2" t="s">
        <v>14</v>
      </c>
      <c r="W2" t="s">
        <v>15</v>
      </c>
      <c r="AB2" t="s">
        <v>16</v>
      </c>
      <c r="AG2" s="1"/>
      <c r="AH2" s="1"/>
      <c r="AI2" s="1"/>
      <c r="AJ2" s="1"/>
      <c r="AK2" s="1"/>
      <c r="AL2" s="1"/>
      <c r="AM2" s="1"/>
    </row>
    <row r="3" spans="1:40" x14ac:dyDescent="0.15">
      <c r="T3" t="s">
        <v>17</v>
      </c>
      <c r="U3" s="4">
        <v>0.5</v>
      </c>
      <c r="V3" s="4">
        <v>0.34</v>
      </c>
      <c r="W3" s="5">
        <v>1</v>
      </c>
      <c r="AD3" s="6">
        <f>+H23</f>
        <v>700</v>
      </c>
      <c r="AE3" s="6"/>
      <c r="AF3" t="s">
        <v>18</v>
      </c>
      <c r="AG3" s="6"/>
      <c r="AH3" s="6"/>
      <c r="AI3" s="6"/>
      <c r="AJ3" s="6"/>
      <c r="AK3" s="6"/>
      <c r="AL3" s="7"/>
      <c r="AM3" s="7"/>
    </row>
    <row r="4" spans="1:40" x14ac:dyDescent="0.15">
      <c r="T4" t="s">
        <v>19</v>
      </c>
      <c r="AB4" s="1" t="s">
        <v>20</v>
      </c>
      <c r="AC4" s="1" t="s">
        <v>20</v>
      </c>
      <c r="AD4" s="2" t="s">
        <v>20</v>
      </c>
      <c r="AE4" s="2" t="s">
        <v>21</v>
      </c>
    </row>
    <row r="5" spans="1:40" x14ac:dyDescent="0.15">
      <c r="F5" t="s">
        <v>199</v>
      </c>
      <c r="S5" s="2" t="s">
        <v>22</v>
      </c>
      <c r="T5" s="2" t="s">
        <v>22</v>
      </c>
      <c r="U5" s="2" t="s">
        <v>22</v>
      </c>
      <c r="V5" s="2" t="s">
        <v>22</v>
      </c>
      <c r="W5" s="2" t="s">
        <v>23</v>
      </c>
      <c r="X5" s="2" t="s">
        <v>23</v>
      </c>
      <c r="Y5" s="2" t="s">
        <v>23</v>
      </c>
      <c r="Z5" s="2" t="s">
        <v>23</v>
      </c>
      <c r="AA5" s="1" t="s">
        <v>24</v>
      </c>
      <c r="AB5" s="1" t="s">
        <v>25</v>
      </c>
      <c r="AC5" s="1" t="s">
        <v>25</v>
      </c>
      <c r="AD5" s="2" t="s">
        <v>25</v>
      </c>
      <c r="AE5" s="2" t="s">
        <v>26</v>
      </c>
      <c r="AF5" s="8" t="s">
        <v>27</v>
      </c>
      <c r="AG5" s="2" t="s">
        <v>28</v>
      </c>
      <c r="AH5" s="8" t="s">
        <v>27</v>
      </c>
      <c r="AI5" t="s">
        <v>29</v>
      </c>
      <c r="AJ5" t="s">
        <v>30</v>
      </c>
      <c r="AK5" t="s">
        <v>30</v>
      </c>
      <c r="AM5" t="s">
        <v>31</v>
      </c>
    </row>
    <row r="6" spans="1:40" x14ac:dyDescent="0.15">
      <c r="A6" s="3"/>
      <c r="C6" s="9"/>
      <c r="R6" t="s">
        <v>32</v>
      </c>
      <c r="S6" s="2" t="s">
        <v>33</v>
      </c>
      <c r="T6" s="2" t="s">
        <v>34</v>
      </c>
      <c r="U6" s="2" t="s">
        <v>35</v>
      </c>
      <c r="V6" s="2" t="s">
        <v>36</v>
      </c>
      <c r="W6" s="2" t="s">
        <v>33</v>
      </c>
      <c r="X6" s="2" t="s">
        <v>34</v>
      </c>
      <c r="Y6" s="2" t="s">
        <v>35</v>
      </c>
      <c r="Z6" s="2" t="s">
        <v>36</v>
      </c>
      <c r="AA6" s="1" t="s">
        <v>37</v>
      </c>
      <c r="AB6" s="1" t="s">
        <v>38</v>
      </c>
      <c r="AC6" s="1" t="s">
        <v>39</v>
      </c>
      <c r="AD6" s="2" t="s">
        <v>40</v>
      </c>
      <c r="AE6" s="2" t="s">
        <v>41</v>
      </c>
      <c r="AF6" s="8" t="s">
        <v>42</v>
      </c>
      <c r="AG6" s="8" t="s">
        <v>42</v>
      </c>
      <c r="AH6" s="8" t="s">
        <v>43</v>
      </c>
      <c r="AI6" t="s">
        <v>44</v>
      </c>
      <c r="AL6" t="s">
        <v>45</v>
      </c>
      <c r="AM6" t="s">
        <v>46</v>
      </c>
    </row>
    <row r="7" spans="1:40" x14ac:dyDescent="0.15">
      <c r="S7" s="2">
        <v>29</v>
      </c>
      <c r="T7" s="2">
        <v>24</v>
      </c>
      <c r="U7" s="2">
        <v>17</v>
      </c>
      <c r="AA7" s="10"/>
      <c r="AB7" s="6">
        <f>+Q180</f>
        <v>378.0874149434315</v>
      </c>
      <c r="AC7" s="6">
        <f>+O180</f>
        <v>430.94674143842826</v>
      </c>
      <c r="AD7" s="6">
        <f>+P180</f>
        <v>526.85094965032113</v>
      </c>
      <c r="AE7" s="6"/>
      <c r="AF7" s="11"/>
      <c r="AG7" s="2"/>
      <c r="AH7" s="11"/>
      <c r="AJ7" t="s">
        <v>47</v>
      </c>
      <c r="AK7" t="s">
        <v>48</v>
      </c>
      <c r="AL7" t="s">
        <v>49</v>
      </c>
      <c r="AM7" t="s">
        <v>47</v>
      </c>
      <c r="AN7" s="4"/>
    </row>
    <row r="8" spans="1:40" x14ac:dyDescent="0.15">
      <c r="S8" s="2"/>
      <c r="T8" s="2"/>
      <c r="U8" s="2"/>
      <c r="AA8" s="10"/>
      <c r="AB8" s="6"/>
      <c r="AC8" s="6"/>
      <c r="AD8" s="6"/>
      <c r="AE8" s="6"/>
      <c r="AF8" s="11"/>
      <c r="AG8" s="2"/>
      <c r="AH8" s="11"/>
      <c r="AN8" s="4"/>
    </row>
    <row r="9" spans="1:40" x14ac:dyDescent="0.15">
      <c r="S9" s="2"/>
      <c r="T9" s="2"/>
      <c r="U9" s="2"/>
      <c r="AA9" s="10"/>
      <c r="AB9" s="10"/>
      <c r="AC9" s="10"/>
      <c r="AF9" s="11"/>
      <c r="AH9" s="11"/>
    </row>
    <row r="10" spans="1:40" x14ac:dyDescent="0.15">
      <c r="K10" s="9"/>
      <c r="L10" s="2"/>
      <c r="M10" s="2"/>
      <c r="N10" s="2"/>
      <c r="P10" s="2"/>
      <c r="Q10" s="2"/>
      <c r="R10">
        <v>1</v>
      </c>
      <c r="S10">
        <v>420</v>
      </c>
      <c r="T10" s="2">
        <v>39</v>
      </c>
      <c r="U10" s="2"/>
      <c r="V10">
        <f>SUM(S10:U10)</f>
        <v>459</v>
      </c>
      <c r="W10">
        <f t="shared" ref="W10:W33" si="0">+S10*$S$7</f>
        <v>12180</v>
      </c>
      <c r="X10">
        <f>+V10*$T$7</f>
        <v>11016</v>
      </c>
      <c r="Y10">
        <f>+U10*$U$7</f>
        <v>0</v>
      </c>
      <c r="Z10" s="10">
        <f>SUM(W10:Y10)</f>
        <v>23196</v>
      </c>
      <c r="AA10" s="10">
        <f>+AE10/V10</f>
        <v>50.535947712418299</v>
      </c>
      <c r="AB10" s="10">
        <f>+$W$3*Z10</f>
        <v>23196</v>
      </c>
      <c r="AC10" s="10"/>
      <c r="AD10" s="10"/>
      <c r="AE10" s="10">
        <f>SUM(AB10:AD10)</f>
        <v>23196</v>
      </c>
      <c r="AF10" s="11">
        <v>4.5</v>
      </c>
      <c r="AH10" s="6">
        <f>+(AF10*$C$42)/(AE10)</f>
        <v>31.039834454216244</v>
      </c>
      <c r="AI10" s="6">
        <f t="shared" ref="AI10:AI16" si="1">+AH10+$AB$7</f>
        <v>409.12724939764774</v>
      </c>
      <c r="AJ10" s="6">
        <f t="shared" ref="AJ10:AJ16" si="2">+$C$27-AI10</f>
        <v>110.87275060235226</v>
      </c>
      <c r="AK10" s="5">
        <f>+(AJ10)/$C$27</f>
        <v>0.21321682808144665</v>
      </c>
      <c r="AL10" s="12">
        <f t="shared" ref="AL10:AL26" si="3">+AF10*$C$42</f>
        <v>720000</v>
      </c>
      <c r="AM10" s="12">
        <f t="shared" ref="AM10:AM24" si="4">+AJ10*AE10</f>
        <v>2571804.3229721631</v>
      </c>
      <c r="AN10" s="9"/>
    </row>
    <row r="11" spans="1:40" x14ac:dyDescent="0.15">
      <c r="J11" s="2" t="s">
        <v>50</v>
      </c>
      <c r="K11" t="s">
        <v>51</v>
      </c>
      <c r="L11" t="s">
        <v>52</v>
      </c>
      <c r="N11" t="s">
        <v>53</v>
      </c>
      <c r="O11" t="s">
        <v>54</v>
      </c>
      <c r="P11" t="s">
        <v>55</v>
      </c>
      <c r="Q11" s="2"/>
      <c r="R11">
        <v>2</v>
      </c>
      <c r="S11" s="2">
        <v>613</v>
      </c>
      <c r="U11" s="2"/>
      <c r="V11">
        <f t="shared" ref="V11:V33" si="5">SUM(S11:U11)</f>
        <v>613</v>
      </c>
      <c r="W11">
        <f t="shared" si="0"/>
        <v>17777</v>
      </c>
      <c r="X11">
        <f t="shared" ref="X11:X33" si="6">+T11*$T$7</f>
        <v>0</v>
      </c>
      <c r="Y11">
        <f t="shared" ref="Y11:Y33" si="7">+U11*$U$7</f>
        <v>0</v>
      </c>
      <c r="Z11" s="10">
        <f t="shared" ref="Z11:Z17" si="8">SUM(W11:Y11)</f>
        <v>17777</v>
      </c>
      <c r="AA11" s="10">
        <f t="shared" ref="AA11:AA24" si="9">+AE11/V11</f>
        <v>29</v>
      </c>
      <c r="AB11" s="10">
        <f>+$W$3*Z11</f>
        <v>17777</v>
      </c>
      <c r="AC11" s="10"/>
      <c r="AD11" s="10"/>
      <c r="AE11" s="10">
        <f t="shared" ref="AE11:AE26" si="10">SUM(AB11:AD11)</f>
        <v>17777</v>
      </c>
      <c r="AF11" s="11">
        <v>6</v>
      </c>
      <c r="AH11" s="6">
        <f t="shared" ref="AH11:AH26" si="11">+(AF11*$C$42)/(AE11)</f>
        <v>54.002362603363899</v>
      </c>
      <c r="AI11" s="6">
        <f t="shared" si="1"/>
        <v>432.0897775467954</v>
      </c>
      <c r="AJ11" s="6">
        <f t="shared" si="2"/>
        <v>87.910222453204597</v>
      </c>
      <c r="AK11" s="5">
        <f t="shared" ref="AK11:AK21" si="12">+(AJ11)/$C$27</f>
        <v>0.16905812010231652</v>
      </c>
      <c r="AL11" s="12">
        <f t="shared" si="3"/>
        <v>960000</v>
      </c>
      <c r="AM11" s="12">
        <f t="shared" si="4"/>
        <v>1562780.0245506181</v>
      </c>
      <c r="AN11" s="13"/>
    </row>
    <row r="12" spans="1:40" x14ac:dyDescent="0.15">
      <c r="A12" s="9" t="s">
        <v>56</v>
      </c>
      <c r="B12" s="2" t="s">
        <v>23</v>
      </c>
      <c r="C12" s="2" t="s">
        <v>57</v>
      </c>
      <c r="D12" s="2" t="s">
        <v>58</v>
      </c>
      <c r="E12" s="2" t="s">
        <v>59</v>
      </c>
      <c r="F12" s="2" t="s">
        <v>60</v>
      </c>
      <c r="G12" s="2" t="s">
        <v>61</v>
      </c>
      <c r="H12" s="2" t="s">
        <v>62</v>
      </c>
      <c r="I12" s="2" t="s">
        <v>63</v>
      </c>
      <c r="J12" s="5"/>
      <c r="K12" s="14"/>
      <c r="M12" s="6"/>
      <c r="O12" s="15"/>
      <c r="Q12" s="2"/>
      <c r="R12">
        <v>3</v>
      </c>
      <c r="S12" s="2">
        <v>124</v>
      </c>
      <c r="T12" s="2">
        <v>100</v>
      </c>
      <c r="U12" s="2"/>
      <c r="V12">
        <f t="shared" si="5"/>
        <v>224</v>
      </c>
      <c r="W12">
        <f t="shared" si="0"/>
        <v>3596</v>
      </c>
      <c r="X12">
        <f>+V12*$T$7</f>
        <v>5376</v>
      </c>
      <c r="Y12">
        <f>+U12*$U$7</f>
        <v>0</v>
      </c>
      <c r="Z12" s="10">
        <f t="shared" si="8"/>
        <v>8972</v>
      </c>
      <c r="AA12" s="10">
        <f t="shared" si="9"/>
        <v>40.053571428571431</v>
      </c>
      <c r="AB12" s="10">
        <f>+$W$3*Z12</f>
        <v>8972</v>
      </c>
      <c r="AC12" s="10"/>
      <c r="AD12" s="10"/>
      <c r="AE12" s="10">
        <f t="shared" si="10"/>
        <v>8972</v>
      </c>
      <c r="AF12" s="11"/>
      <c r="AH12" s="6">
        <f t="shared" si="11"/>
        <v>0</v>
      </c>
      <c r="AI12" s="6">
        <f t="shared" si="1"/>
        <v>378.0874149434315</v>
      </c>
      <c r="AJ12" s="6">
        <f t="shared" si="2"/>
        <v>141.9125850565685</v>
      </c>
      <c r="AK12" s="5">
        <f>+(AJ12)/$C$27</f>
        <v>0.27290881741647788</v>
      </c>
      <c r="AL12" s="12">
        <f t="shared" si="3"/>
        <v>0</v>
      </c>
      <c r="AM12" s="12">
        <f t="shared" si="4"/>
        <v>1273239.7131275325</v>
      </c>
      <c r="AN12" s="145" t="s">
        <v>222</v>
      </c>
    </row>
    <row r="13" spans="1:40" x14ac:dyDescent="0.15">
      <c r="J13" s="5"/>
      <c r="K13" s="14"/>
      <c r="M13" s="6"/>
      <c r="O13" s="15"/>
      <c r="Q13" s="2"/>
      <c r="R13">
        <v>4</v>
      </c>
      <c r="S13" s="2">
        <v>60</v>
      </c>
      <c r="T13" s="2">
        <v>46</v>
      </c>
      <c r="U13" s="2"/>
      <c r="V13">
        <f t="shared" si="5"/>
        <v>106</v>
      </c>
      <c r="W13">
        <f t="shared" si="0"/>
        <v>1740</v>
      </c>
      <c r="X13">
        <f t="shared" si="6"/>
        <v>1104</v>
      </c>
      <c r="Y13">
        <f t="shared" si="7"/>
        <v>0</v>
      </c>
      <c r="Z13" s="10">
        <f t="shared" si="8"/>
        <v>2844</v>
      </c>
      <c r="AA13" s="10">
        <f t="shared" si="9"/>
        <v>26.830188679245282</v>
      </c>
      <c r="AB13" s="10">
        <f>+$W$3*Z13</f>
        <v>2844</v>
      </c>
      <c r="AC13" s="10"/>
      <c r="AD13" s="10"/>
      <c r="AE13" s="10">
        <f t="shared" si="10"/>
        <v>2844</v>
      </c>
      <c r="AF13" s="11"/>
      <c r="AH13" s="6">
        <f t="shared" si="11"/>
        <v>0</v>
      </c>
      <c r="AI13" s="6">
        <f t="shared" si="1"/>
        <v>378.0874149434315</v>
      </c>
      <c r="AJ13" s="6">
        <f t="shared" si="2"/>
        <v>141.9125850565685</v>
      </c>
      <c r="AK13" s="5">
        <f>+(AJ13)/$C$27</f>
        <v>0.27290881741647788</v>
      </c>
      <c r="AL13" s="12">
        <f t="shared" si="3"/>
        <v>0</v>
      </c>
      <c r="AM13" s="12">
        <f t="shared" si="4"/>
        <v>403599.39190088084</v>
      </c>
      <c r="AN13" s="16"/>
    </row>
    <row r="14" spans="1:40" x14ac:dyDescent="0.15">
      <c r="A14" s="14" t="s">
        <v>64</v>
      </c>
      <c r="B14" s="5">
        <v>0.22</v>
      </c>
      <c r="C14" s="15">
        <f>+D158</f>
        <v>1063.92</v>
      </c>
      <c r="D14" s="6">
        <f t="shared" ref="D14:D20" si="13">+C14*B14</f>
        <v>234.06240000000003</v>
      </c>
      <c r="E14" s="10">
        <v>17025</v>
      </c>
      <c r="F14" s="6">
        <v>244</v>
      </c>
      <c r="G14" s="6">
        <f t="shared" ref="G14:G20" si="14">+F14*B14</f>
        <v>53.68</v>
      </c>
      <c r="H14" s="15">
        <f t="shared" ref="H14:H20" si="15">+C14-F14</f>
        <v>819.92000000000007</v>
      </c>
      <c r="I14" s="15">
        <f t="shared" ref="I14:I20" si="16">+H14*B14</f>
        <v>180.38240000000002</v>
      </c>
      <c r="J14" s="5">
        <v>0.08</v>
      </c>
      <c r="K14" s="7">
        <f>+J14*C14</f>
        <v>85.113600000000005</v>
      </c>
      <c r="L14" s="17">
        <f>+J14*H14</f>
        <v>65.593600000000009</v>
      </c>
      <c r="M14" s="5"/>
      <c r="N14" s="4">
        <v>0.23</v>
      </c>
      <c r="O14" s="15">
        <f>+N14*C14</f>
        <v>244.70160000000001</v>
      </c>
      <c r="P14" s="15">
        <f>+N14*H14</f>
        <v>188.58160000000004</v>
      </c>
      <c r="Q14" s="2"/>
      <c r="R14">
        <v>5</v>
      </c>
      <c r="S14" s="2">
        <v>80</v>
      </c>
      <c r="T14" s="2"/>
      <c r="U14" s="2"/>
      <c r="V14">
        <f t="shared" si="5"/>
        <v>80</v>
      </c>
      <c r="W14">
        <f t="shared" si="0"/>
        <v>2320</v>
      </c>
      <c r="X14">
        <f t="shared" si="6"/>
        <v>0</v>
      </c>
      <c r="Y14">
        <f t="shared" si="7"/>
        <v>0</v>
      </c>
      <c r="Z14" s="10">
        <f t="shared" si="8"/>
        <v>2320</v>
      </c>
      <c r="AA14" s="10">
        <f t="shared" si="9"/>
        <v>29</v>
      </c>
      <c r="AB14" s="10">
        <f>+Z14*$W$3</f>
        <v>2320</v>
      </c>
      <c r="AC14" s="10"/>
      <c r="AD14" s="10"/>
      <c r="AE14" s="10">
        <f t="shared" si="10"/>
        <v>2320</v>
      </c>
      <c r="AF14" s="11">
        <v>0.2</v>
      </c>
      <c r="AH14" s="6">
        <f t="shared" si="11"/>
        <v>13.793103448275861</v>
      </c>
      <c r="AI14" s="6">
        <f t="shared" si="1"/>
        <v>391.88051839170737</v>
      </c>
      <c r="AJ14" s="6">
        <f t="shared" si="2"/>
        <v>128.11948160829263</v>
      </c>
      <c r="AK14" s="5">
        <f>+(AJ14)/$C$27</f>
        <v>0.24638361847748583</v>
      </c>
      <c r="AL14" s="12">
        <f t="shared" si="3"/>
        <v>32000</v>
      </c>
      <c r="AM14" s="12">
        <f t="shared" si="4"/>
        <v>297237.19733123889</v>
      </c>
      <c r="AN14" s="18"/>
    </row>
    <row r="15" spans="1:40" x14ac:dyDescent="0.15">
      <c r="A15" s="14" t="s">
        <v>65</v>
      </c>
      <c r="B15" s="5">
        <v>0</v>
      </c>
      <c r="C15" s="15">
        <f t="shared" ref="C15:C20" si="17">+D159</f>
        <v>516.11</v>
      </c>
      <c r="D15" s="6">
        <f t="shared" si="13"/>
        <v>0</v>
      </c>
      <c r="E15" s="10">
        <v>25618</v>
      </c>
      <c r="F15" s="6">
        <v>325</v>
      </c>
      <c r="G15" s="6">
        <f t="shared" si="14"/>
        <v>0</v>
      </c>
      <c r="H15" s="15">
        <f t="shared" si="15"/>
        <v>191.11</v>
      </c>
      <c r="I15" s="15">
        <f t="shared" si="16"/>
        <v>0</v>
      </c>
      <c r="J15" s="5">
        <v>0</v>
      </c>
      <c r="K15" s="7">
        <f t="shared" ref="K15:K20" si="18">+J15*C15</f>
        <v>0</v>
      </c>
      <c r="L15" s="17">
        <f t="shared" ref="L15:L20" si="19">+J15*H15</f>
        <v>0</v>
      </c>
      <c r="M15" s="5"/>
      <c r="N15" s="4">
        <v>0</v>
      </c>
      <c r="O15" s="15">
        <f t="shared" ref="O15:O20" si="20">+N15*C15</f>
        <v>0</v>
      </c>
      <c r="P15" s="15">
        <f t="shared" ref="P15:P20" si="21">+N15*H15</f>
        <v>0</v>
      </c>
      <c r="Q15" s="2"/>
      <c r="R15">
        <v>6</v>
      </c>
      <c r="S15" s="2">
        <v>44</v>
      </c>
      <c r="T15" s="2">
        <v>44</v>
      </c>
      <c r="U15" s="2"/>
      <c r="V15">
        <f t="shared" si="5"/>
        <v>88</v>
      </c>
      <c r="W15">
        <f t="shared" si="0"/>
        <v>1276</v>
      </c>
      <c r="X15">
        <f t="shared" si="6"/>
        <v>1056</v>
      </c>
      <c r="Y15">
        <f t="shared" si="7"/>
        <v>0</v>
      </c>
      <c r="Z15" s="10">
        <f t="shared" si="8"/>
        <v>2332</v>
      </c>
      <c r="AA15" s="10">
        <f t="shared" si="9"/>
        <v>26.5</v>
      </c>
      <c r="AB15" s="10">
        <f>+Z15*$W$3</f>
        <v>2332</v>
      </c>
      <c r="AC15" s="10"/>
      <c r="AD15" s="10"/>
      <c r="AE15" s="10">
        <f t="shared" si="10"/>
        <v>2332</v>
      </c>
      <c r="AF15" s="11"/>
      <c r="AH15" s="6">
        <f t="shared" si="11"/>
        <v>0</v>
      </c>
      <c r="AI15" s="6">
        <f t="shared" si="1"/>
        <v>378.0874149434315</v>
      </c>
      <c r="AJ15" s="6">
        <f t="shared" si="2"/>
        <v>141.9125850565685</v>
      </c>
      <c r="AK15" s="5">
        <f>+(AJ15)/$C$27</f>
        <v>0.27290881741647788</v>
      </c>
      <c r="AL15" s="12">
        <f t="shared" si="3"/>
        <v>0</v>
      </c>
      <c r="AM15" s="12">
        <f t="shared" si="4"/>
        <v>330940.14835191774</v>
      </c>
      <c r="AN15" s="18"/>
    </row>
    <row r="16" spans="1:40" x14ac:dyDescent="0.15">
      <c r="A16" s="14" t="s">
        <v>66</v>
      </c>
      <c r="B16" s="5">
        <v>0.18</v>
      </c>
      <c r="C16" s="15">
        <f t="shared" si="17"/>
        <v>697.91</v>
      </c>
      <c r="D16" s="6">
        <f t="shared" si="13"/>
        <v>125.62379999999999</v>
      </c>
      <c r="E16" s="10"/>
      <c r="F16" s="6">
        <v>398</v>
      </c>
      <c r="G16" s="6">
        <f t="shared" si="14"/>
        <v>71.64</v>
      </c>
      <c r="H16" s="15">
        <f t="shared" si="15"/>
        <v>299.90999999999997</v>
      </c>
      <c r="I16" s="15">
        <f t="shared" si="16"/>
        <v>53.983799999999995</v>
      </c>
      <c r="J16" s="5">
        <v>0.26</v>
      </c>
      <c r="K16" s="7">
        <f t="shared" si="18"/>
        <v>181.45660000000001</v>
      </c>
      <c r="L16" s="17">
        <f t="shared" si="19"/>
        <v>77.976599999999991</v>
      </c>
      <c r="M16" s="5"/>
      <c r="N16" s="4">
        <v>0.21</v>
      </c>
      <c r="O16" s="15">
        <f t="shared" si="20"/>
        <v>146.56109999999998</v>
      </c>
      <c r="P16" s="15">
        <f t="shared" si="21"/>
        <v>62.981099999999991</v>
      </c>
      <c r="Q16" s="2"/>
      <c r="R16">
        <v>7</v>
      </c>
      <c r="S16" s="2">
        <v>60</v>
      </c>
      <c r="T16" s="2">
        <v>60</v>
      </c>
      <c r="U16" s="2">
        <v>61</v>
      </c>
      <c r="V16">
        <f t="shared" si="5"/>
        <v>181</v>
      </c>
      <c r="W16">
        <f t="shared" si="0"/>
        <v>1740</v>
      </c>
      <c r="X16">
        <f t="shared" si="6"/>
        <v>1440</v>
      </c>
      <c r="Y16">
        <f t="shared" si="7"/>
        <v>1037</v>
      </c>
      <c r="Z16" s="10">
        <f t="shared" si="8"/>
        <v>4217</v>
      </c>
      <c r="AA16" s="10">
        <f t="shared" si="9"/>
        <v>23.298342541436465</v>
      </c>
      <c r="AB16" s="10">
        <f>+Z16*$W$3</f>
        <v>4217</v>
      </c>
      <c r="AC16" s="10"/>
      <c r="AD16" s="10"/>
      <c r="AE16" s="10">
        <f t="shared" si="10"/>
        <v>4217</v>
      </c>
      <c r="AF16" s="11">
        <v>0.5</v>
      </c>
      <c r="AH16" s="6">
        <f t="shared" si="11"/>
        <v>18.970832345269148</v>
      </c>
      <c r="AI16" s="6">
        <f t="shared" si="1"/>
        <v>397.05824728870067</v>
      </c>
      <c r="AJ16" s="6">
        <f t="shared" si="2"/>
        <v>122.94175271129933</v>
      </c>
      <c r="AK16" s="5">
        <f>+(AJ16)/$C$27</f>
        <v>0.23642644752172948</v>
      </c>
      <c r="AL16" s="12">
        <f t="shared" si="3"/>
        <v>80000</v>
      </c>
      <c r="AM16" s="12">
        <f t="shared" si="4"/>
        <v>518445.37118354929</v>
      </c>
      <c r="AN16" s="19"/>
    </row>
    <row r="17" spans="1:40" x14ac:dyDescent="0.15">
      <c r="A17" s="14" t="s">
        <v>67</v>
      </c>
      <c r="B17" s="5"/>
      <c r="C17" s="15">
        <f t="shared" si="17"/>
        <v>758.64</v>
      </c>
      <c r="D17" s="6">
        <f t="shared" si="13"/>
        <v>0</v>
      </c>
      <c r="E17" s="10"/>
      <c r="F17" s="6">
        <v>94</v>
      </c>
      <c r="G17" s="6">
        <f t="shared" si="14"/>
        <v>0</v>
      </c>
      <c r="H17" s="15">
        <f t="shared" si="15"/>
        <v>664.64</v>
      </c>
      <c r="I17" s="15">
        <f t="shared" si="16"/>
        <v>0</v>
      </c>
      <c r="J17" s="5"/>
      <c r="K17" s="7">
        <f t="shared" si="18"/>
        <v>0</v>
      </c>
      <c r="L17" s="17">
        <f t="shared" si="19"/>
        <v>0</v>
      </c>
      <c r="M17" s="5"/>
      <c r="N17" s="4">
        <v>0</v>
      </c>
      <c r="O17" s="15">
        <f t="shared" si="20"/>
        <v>0</v>
      </c>
      <c r="P17" s="15">
        <f t="shared" si="21"/>
        <v>0</v>
      </c>
      <c r="Q17" s="10"/>
      <c r="R17">
        <v>8</v>
      </c>
      <c r="S17" s="2">
        <v>60</v>
      </c>
      <c r="T17" s="2">
        <v>9</v>
      </c>
      <c r="U17" s="2"/>
      <c r="V17">
        <f t="shared" si="5"/>
        <v>69</v>
      </c>
      <c r="W17">
        <f t="shared" si="0"/>
        <v>1740</v>
      </c>
      <c r="X17">
        <f t="shared" si="6"/>
        <v>216</v>
      </c>
      <c r="Y17">
        <f t="shared" si="7"/>
        <v>0</v>
      </c>
      <c r="Z17" s="10">
        <f t="shared" si="8"/>
        <v>1956</v>
      </c>
      <c r="AA17" s="10">
        <f t="shared" si="9"/>
        <v>9.6382608695652188</v>
      </c>
      <c r="AB17" s="10"/>
      <c r="AC17" s="10"/>
      <c r="AD17" s="10">
        <f>+$V$3*Z17</f>
        <v>665.04000000000008</v>
      </c>
      <c r="AE17" s="10">
        <f t="shared" si="10"/>
        <v>665.04000000000008</v>
      </c>
      <c r="AF17" s="11"/>
      <c r="AH17" s="6">
        <f t="shared" si="11"/>
        <v>0</v>
      </c>
      <c r="AI17" s="6">
        <f>+AH17+$AD$7</f>
        <v>526.85094965032113</v>
      </c>
      <c r="AJ17" s="6">
        <f>+$AD$3-AI17</f>
        <v>173.14905034967887</v>
      </c>
      <c r="AK17" s="5">
        <f t="shared" si="12"/>
        <v>0.33297894298015168</v>
      </c>
      <c r="AL17" s="12">
        <f t="shared" si="3"/>
        <v>0</v>
      </c>
      <c r="AM17" s="12">
        <f t="shared" si="4"/>
        <v>115151.04444455045</v>
      </c>
    </row>
    <row r="18" spans="1:40" x14ac:dyDescent="0.15">
      <c r="A18" s="20" t="s">
        <v>68</v>
      </c>
      <c r="B18" s="5">
        <v>0.15</v>
      </c>
      <c r="C18" s="15">
        <f t="shared" si="17"/>
        <v>903.96</v>
      </c>
      <c r="D18" s="6">
        <f t="shared" si="13"/>
        <v>135.59399999999999</v>
      </c>
      <c r="E18" s="10">
        <v>2972</v>
      </c>
      <c r="F18" s="6">
        <v>94</v>
      </c>
      <c r="G18" s="6">
        <f t="shared" si="14"/>
        <v>14.1</v>
      </c>
      <c r="H18" s="15">
        <f t="shared" si="15"/>
        <v>809.96</v>
      </c>
      <c r="I18" s="15">
        <f t="shared" si="16"/>
        <v>121.494</v>
      </c>
      <c r="J18" s="5">
        <v>0.16</v>
      </c>
      <c r="K18" s="7">
        <f t="shared" si="18"/>
        <v>144.6336</v>
      </c>
      <c r="L18" s="17">
        <f t="shared" si="19"/>
        <v>129.59360000000001</v>
      </c>
      <c r="M18" s="5"/>
      <c r="N18" s="4">
        <v>0.12</v>
      </c>
      <c r="O18" s="15">
        <f t="shared" si="20"/>
        <v>108.4752</v>
      </c>
      <c r="P18" s="15">
        <f t="shared" si="21"/>
        <v>97.1952</v>
      </c>
      <c r="Q18" s="10"/>
      <c r="R18">
        <v>9</v>
      </c>
      <c r="S18" s="2">
        <v>26</v>
      </c>
      <c r="T18" s="2"/>
      <c r="U18" s="2"/>
      <c r="V18">
        <f>SUM(S18:U18)</f>
        <v>26</v>
      </c>
      <c r="W18">
        <f t="shared" si="0"/>
        <v>754</v>
      </c>
      <c r="X18">
        <f t="shared" si="6"/>
        <v>0</v>
      </c>
      <c r="Y18">
        <f t="shared" si="7"/>
        <v>0</v>
      </c>
      <c r="Z18" s="10">
        <f t="shared" ref="Z18:Z26" si="22">SUM(W18:Y18)</f>
        <v>754</v>
      </c>
      <c r="AA18" s="10">
        <f t="shared" si="9"/>
        <v>29</v>
      </c>
      <c r="AB18" s="10">
        <f t="shared" ref="AB18:AB25" si="23">+Z18*$W$3</f>
        <v>754</v>
      </c>
      <c r="AC18" s="10"/>
      <c r="AD18" s="10"/>
      <c r="AE18" s="10">
        <f t="shared" si="10"/>
        <v>754</v>
      </c>
      <c r="AF18" s="11">
        <v>0.1</v>
      </c>
      <c r="AH18" s="6">
        <f t="shared" si="11"/>
        <v>21.220159151193634</v>
      </c>
      <c r="AI18" s="6">
        <f>+AH18+$AD$7</f>
        <v>548.07110880151481</v>
      </c>
      <c r="AJ18" s="6">
        <f>+$AD$3-AI18</f>
        <v>151.92889119848519</v>
      </c>
      <c r="AK18" s="5">
        <f t="shared" si="12"/>
        <v>0.29217094461247151</v>
      </c>
      <c r="AL18" s="12">
        <f t="shared" si="3"/>
        <v>16000</v>
      </c>
      <c r="AM18" s="12">
        <f t="shared" si="4"/>
        <v>114554.38396365783</v>
      </c>
    </row>
    <row r="19" spans="1:40" x14ac:dyDescent="0.15">
      <c r="A19" s="20" t="s">
        <v>69</v>
      </c>
      <c r="B19" s="5"/>
      <c r="C19" s="15">
        <f t="shared" si="17"/>
        <v>598</v>
      </c>
      <c r="D19" s="6">
        <f t="shared" si="13"/>
        <v>0</v>
      </c>
      <c r="E19" s="10"/>
      <c r="F19" s="6">
        <v>110</v>
      </c>
      <c r="G19" s="6">
        <f t="shared" si="14"/>
        <v>0</v>
      </c>
      <c r="H19" s="15">
        <f t="shared" si="15"/>
        <v>488</v>
      </c>
      <c r="I19" s="15">
        <f t="shared" si="16"/>
        <v>0</v>
      </c>
      <c r="J19" s="5"/>
      <c r="K19" s="7">
        <f t="shared" si="18"/>
        <v>0</v>
      </c>
      <c r="L19" s="17">
        <f t="shared" si="19"/>
        <v>0</v>
      </c>
      <c r="M19" s="5"/>
      <c r="N19" s="4">
        <v>0</v>
      </c>
      <c r="O19" s="15">
        <f t="shared" si="20"/>
        <v>0</v>
      </c>
      <c r="P19" s="15">
        <f t="shared" si="21"/>
        <v>0</v>
      </c>
      <c r="Q19" s="10"/>
      <c r="R19">
        <v>10</v>
      </c>
      <c r="S19" s="2">
        <v>23</v>
      </c>
      <c r="T19" s="2">
        <v>40</v>
      </c>
      <c r="V19">
        <f>SUM(S19:U19)</f>
        <v>63</v>
      </c>
      <c r="W19">
        <f t="shared" si="0"/>
        <v>667</v>
      </c>
      <c r="X19">
        <f t="shared" si="6"/>
        <v>960</v>
      </c>
      <c r="Y19">
        <f t="shared" si="7"/>
        <v>0</v>
      </c>
      <c r="Z19" s="10">
        <f t="shared" si="22"/>
        <v>1627</v>
      </c>
      <c r="AA19" s="10">
        <f t="shared" si="9"/>
        <v>25.825396825396826</v>
      </c>
      <c r="AB19" s="10">
        <f t="shared" si="23"/>
        <v>1627</v>
      </c>
      <c r="AC19" s="10"/>
      <c r="AD19" s="10"/>
      <c r="AE19" s="10">
        <f t="shared" si="10"/>
        <v>1627</v>
      </c>
      <c r="AF19" s="11">
        <v>0.5</v>
      </c>
      <c r="AH19" s="6">
        <f t="shared" si="11"/>
        <v>49.170251997541484</v>
      </c>
      <c r="AI19" s="6">
        <f t="shared" ref="AI19:AI26" si="24">+AH19+$AB$7</f>
        <v>427.25766694097297</v>
      </c>
      <c r="AJ19" s="6">
        <f t="shared" ref="AJ19:AJ26" si="25">+$C$27-AI19</f>
        <v>92.742333059027033</v>
      </c>
      <c r="AK19" s="5">
        <f t="shared" si="12"/>
        <v>0.1783506404981289</v>
      </c>
      <c r="AL19" s="12">
        <f t="shared" si="3"/>
        <v>80000</v>
      </c>
      <c r="AM19" s="12">
        <f t="shared" si="4"/>
        <v>150891.77588703699</v>
      </c>
    </row>
    <row r="20" spans="1:40" x14ac:dyDescent="0.15">
      <c r="A20" s="20" t="s">
        <v>70</v>
      </c>
      <c r="B20" s="5">
        <v>0.45</v>
      </c>
      <c r="C20" s="15">
        <f t="shared" si="17"/>
        <v>518.34</v>
      </c>
      <c r="D20" s="6">
        <f t="shared" si="13"/>
        <v>233.25300000000001</v>
      </c>
      <c r="E20" s="10"/>
      <c r="F20" s="6">
        <v>110</v>
      </c>
      <c r="G20" s="6">
        <f t="shared" si="14"/>
        <v>49.5</v>
      </c>
      <c r="H20" s="15">
        <f t="shared" si="15"/>
        <v>408.34000000000003</v>
      </c>
      <c r="I20" s="15">
        <f t="shared" si="16"/>
        <v>183.75300000000001</v>
      </c>
      <c r="J20" s="5">
        <v>0.5</v>
      </c>
      <c r="K20" s="7">
        <f t="shared" si="18"/>
        <v>259.17</v>
      </c>
      <c r="L20" s="17">
        <f t="shared" si="19"/>
        <v>204.17000000000002</v>
      </c>
      <c r="M20" s="5"/>
      <c r="N20" s="4">
        <v>0.43</v>
      </c>
      <c r="O20" s="15">
        <f t="shared" si="20"/>
        <v>222.8862</v>
      </c>
      <c r="P20" s="15">
        <f t="shared" si="21"/>
        <v>175.58620000000002</v>
      </c>
      <c r="Q20" s="10"/>
      <c r="R20">
        <v>11</v>
      </c>
      <c r="S20" s="2">
        <v>20</v>
      </c>
      <c r="T20" s="2">
        <v>52</v>
      </c>
      <c r="U20" s="2">
        <v>20</v>
      </c>
      <c r="V20">
        <f>SUM(S20:U20)</f>
        <v>92</v>
      </c>
      <c r="W20">
        <f t="shared" si="0"/>
        <v>580</v>
      </c>
      <c r="X20">
        <f t="shared" si="6"/>
        <v>1248</v>
      </c>
      <c r="Y20">
        <f t="shared" si="7"/>
        <v>340</v>
      </c>
      <c r="Z20" s="10">
        <f t="shared" si="22"/>
        <v>2168</v>
      </c>
      <c r="AA20" s="10">
        <f t="shared" si="9"/>
        <v>23.565217391304348</v>
      </c>
      <c r="AB20" s="10">
        <f t="shared" si="23"/>
        <v>2168</v>
      </c>
      <c r="AC20" s="10"/>
      <c r="AD20" s="10"/>
      <c r="AE20" s="10">
        <f t="shared" si="10"/>
        <v>2168</v>
      </c>
      <c r="AF20" s="11">
        <v>0.1</v>
      </c>
      <c r="AH20" s="6">
        <f t="shared" si="11"/>
        <v>7.3800738007380078</v>
      </c>
      <c r="AI20" s="6">
        <f t="shared" si="24"/>
        <v>385.46748874416949</v>
      </c>
      <c r="AJ20" s="6">
        <f t="shared" si="25"/>
        <v>134.53251125583051</v>
      </c>
      <c r="AK20" s="5">
        <f t="shared" si="12"/>
        <v>0.25871636779967405</v>
      </c>
      <c r="AL20" s="12">
        <f t="shared" si="3"/>
        <v>16000</v>
      </c>
      <c r="AM20" s="12">
        <f t="shared" si="4"/>
        <v>291666.48440264055</v>
      </c>
    </row>
    <row r="21" spans="1:40" x14ac:dyDescent="0.15">
      <c r="A21" s="14"/>
      <c r="B21" s="6"/>
      <c r="C21" s="6"/>
      <c r="D21" s="6"/>
      <c r="E21" s="10"/>
      <c r="J21" s="6"/>
      <c r="K21" s="7"/>
      <c r="M21" s="6"/>
      <c r="N21" s="4"/>
      <c r="Q21" s="2"/>
      <c r="R21">
        <v>12</v>
      </c>
      <c r="S21" s="2">
        <v>16</v>
      </c>
      <c r="T21" s="2">
        <v>15</v>
      </c>
      <c r="U21" s="2"/>
      <c r="V21">
        <f t="shared" si="5"/>
        <v>31</v>
      </c>
      <c r="W21">
        <f t="shared" si="0"/>
        <v>464</v>
      </c>
      <c r="X21">
        <f t="shared" si="6"/>
        <v>360</v>
      </c>
      <c r="Y21">
        <f t="shared" si="7"/>
        <v>0</v>
      </c>
      <c r="Z21" s="10">
        <f t="shared" si="22"/>
        <v>824</v>
      </c>
      <c r="AA21" s="10">
        <f t="shared" si="9"/>
        <v>26.580645161290324</v>
      </c>
      <c r="AB21" s="10">
        <f t="shared" si="23"/>
        <v>824</v>
      </c>
      <c r="AC21" s="10"/>
      <c r="AD21" s="10"/>
      <c r="AE21" s="10">
        <f t="shared" si="10"/>
        <v>824</v>
      </c>
      <c r="AF21" s="11"/>
      <c r="AH21" s="6">
        <f t="shared" si="11"/>
        <v>0</v>
      </c>
      <c r="AI21" s="6">
        <f t="shared" si="24"/>
        <v>378.0874149434315</v>
      </c>
      <c r="AJ21" s="6">
        <f t="shared" si="25"/>
        <v>141.9125850565685</v>
      </c>
      <c r="AK21" s="5">
        <f t="shared" si="12"/>
        <v>0.27290881741647788</v>
      </c>
      <c r="AL21" s="12">
        <f t="shared" si="3"/>
        <v>0</v>
      </c>
      <c r="AM21" s="12">
        <f t="shared" si="4"/>
        <v>116935.97008661245</v>
      </c>
    </row>
    <row r="22" spans="1:40" x14ac:dyDescent="0.15">
      <c r="A22" s="21" t="s">
        <v>71</v>
      </c>
      <c r="B22" s="5">
        <f>SUM(B14:B21)</f>
        <v>1</v>
      </c>
      <c r="C22" s="6">
        <f>SUM(D14:D20)</f>
        <v>728.53319999999997</v>
      </c>
      <c r="D22" s="6"/>
      <c r="E22" s="10">
        <f>SUM(E14:E20)</f>
        <v>45615</v>
      </c>
      <c r="I22" s="15">
        <f>SUM(I14:I21)</f>
        <v>539.61320000000001</v>
      </c>
      <c r="J22" s="5">
        <f>SUM(J14:J20)</f>
        <v>1</v>
      </c>
      <c r="K22" s="22">
        <f>SUM(K14:K20)</f>
        <v>670.37380000000007</v>
      </c>
      <c r="L22" s="17">
        <f>SUM(L14:L20)</f>
        <v>477.33380000000005</v>
      </c>
      <c r="N22" s="4">
        <f>SUM(N14:N20)</f>
        <v>0.99</v>
      </c>
      <c r="O22" s="15">
        <f>SUM(O14:O21)</f>
        <v>722.6241</v>
      </c>
      <c r="P22" s="15">
        <f>SUM(P14:P21)</f>
        <v>524.34410000000003</v>
      </c>
      <c r="Q22" s="2"/>
      <c r="R22">
        <v>13</v>
      </c>
      <c r="S22" s="2">
        <v>20</v>
      </c>
      <c r="T22" s="2">
        <v>11</v>
      </c>
      <c r="U22" s="2"/>
      <c r="V22">
        <f t="shared" si="5"/>
        <v>31</v>
      </c>
      <c r="W22">
        <f t="shared" si="0"/>
        <v>580</v>
      </c>
      <c r="X22">
        <f t="shared" si="6"/>
        <v>264</v>
      </c>
      <c r="Y22">
        <f t="shared" si="7"/>
        <v>0</v>
      </c>
      <c r="Z22" s="10">
        <f t="shared" si="22"/>
        <v>844</v>
      </c>
      <c r="AA22" s="10">
        <f t="shared" si="9"/>
        <v>27.225806451612904</v>
      </c>
      <c r="AB22" s="10">
        <f t="shared" si="23"/>
        <v>844</v>
      </c>
      <c r="AC22" s="10"/>
      <c r="AD22" s="10"/>
      <c r="AE22" s="10">
        <f t="shared" si="10"/>
        <v>844</v>
      </c>
      <c r="AF22" s="11"/>
      <c r="AH22" s="6">
        <f t="shared" si="11"/>
        <v>0</v>
      </c>
      <c r="AI22" s="6">
        <f t="shared" si="24"/>
        <v>378.0874149434315</v>
      </c>
      <c r="AJ22" s="6">
        <f t="shared" si="25"/>
        <v>141.9125850565685</v>
      </c>
      <c r="AK22" s="5">
        <f>+(AJ22)/$C$27</f>
        <v>0.27290881741647788</v>
      </c>
      <c r="AL22" s="12">
        <f t="shared" si="3"/>
        <v>0</v>
      </c>
      <c r="AM22" s="12">
        <f t="shared" si="4"/>
        <v>119774.22178774382</v>
      </c>
    </row>
    <row r="23" spans="1:40" x14ac:dyDescent="0.15">
      <c r="B23" s="6"/>
      <c r="C23" s="6"/>
      <c r="D23" s="6"/>
      <c r="E23" s="10"/>
      <c r="G23" t="s">
        <v>72</v>
      </c>
      <c r="H23" s="6">
        <v>700</v>
      </c>
      <c r="L23" s="6"/>
      <c r="M23" s="6"/>
      <c r="O23" s="6"/>
      <c r="Q23" s="2"/>
      <c r="R23">
        <v>14</v>
      </c>
      <c r="S23" s="2">
        <v>30</v>
      </c>
      <c r="T23" s="2">
        <v>11</v>
      </c>
      <c r="U23" s="2"/>
      <c r="V23">
        <f t="shared" si="5"/>
        <v>41</v>
      </c>
      <c r="W23">
        <f t="shared" si="0"/>
        <v>870</v>
      </c>
      <c r="X23">
        <f t="shared" si="6"/>
        <v>264</v>
      </c>
      <c r="Y23">
        <f t="shared" si="7"/>
        <v>0</v>
      </c>
      <c r="Z23" s="10">
        <f t="shared" si="22"/>
        <v>1134</v>
      </c>
      <c r="AA23" s="10">
        <f t="shared" si="9"/>
        <v>27.658536585365855</v>
      </c>
      <c r="AB23" s="10">
        <f t="shared" si="23"/>
        <v>1134</v>
      </c>
      <c r="AD23" s="10"/>
      <c r="AE23" s="10">
        <f t="shared" si="10"/>
        <v>1134</v>
      </c>
      <c r="AF23" s="11"/>
      <c r="AH23" s="6">
        <f t="shared" si="11"/>
        <v>0</v>
      </c>
      <c r="AI23" s="6">
        <f t="shared" si="24"/>
        <v>378.0874149434315</v>
      </c>
      <c r="AJ23" s="6">
        <f t="shared" si="25"/>
        <v>141.9125850565685</v>
      </c>
      <c r="AK23" s="5">
        <f>+(AJ23)/$C$27</f>
        <v>0.27290881741647788</v>
      </c>
      <c r="AL23" s="12">
        <f t="shared" si="3"/>
        <v>0</v>
      </c>
      <c r="AM23" s="12">
        <f t="shared" si="4"/>
        <v>160928.87145414867</v>
      </c>
      <c r="AN23" s="23"/>
    </row>
    <row r="24" spans="1:40" x14ac:dyDescent="0.15">
      <c r="A24" s="21" t="s">
        <v>60</v>
      </c>
      <c r="B24" s="6"/>
      <c r="C24" s="6">
        <f>SUM(G14:G20)</f>
        <v>188.92</v>
      </c>
      <c r="E24" s="10"/>
      <c r="K24" s="24"/>
      <c r="L24" s="6"/>
      <c r="Q24" s="2"/>
      <c r="R24">
        <v>15</v>
      </c>
      <c r="S24" s="2">
        <v>30</v>
      </c>
      <c r="T24" s="2">
        <v>52</v>
      </c>
      <c r="U24" s="2"/>
      <c r="V24">
        <f t="shared" si="5"/>
        <v>82</v>
      </c>
      <c r="W24">
        <f t="shared" si="0"/>
        <v>870</v>
      </c>
      <c r="X24">
        <f t="shared" si="6"/>
        <v>1248</v>
      </c>
      <c r="Y24">
        <f t="shared" si="7"/>
        <v>0</v>
      </c>
      <c r="Z24" s="10">
        <f t="shared" si="22"/>
        <v>2118</v>
      </c>
      <c r="AA24" s="10">
        <f t="shared" si="9"/>
        <v>25.829268292682926</v>
      </c>
      <c r="AB24" s="10">
        <f t="shared" si="23"/>
        <v>2118</v>
      </c>
      <c r="AC24" s="10"/>
      <c r="AD24" s="10"/>
      <c r="AE24" s="10">
        <f t="shared" si="10"/>
        <v>2118</v>
      </c>
      <c r="AF24" s="11">
        <v>2</v>
      </c>
      <c r="AH24" s="6">
        <f t="shared" si="11"/>
        <v>151.0859301227573</v>
      </c>
      <c r="AI24" s="6">
        <f t="shared" si="24"/>
        <v>529.17334506618886</v>
      </c>
      <c r="AJ24" s="6">
        <f t="shared" si="25"/>
        <v>-9.1733450661888583</v>
      </c>
      <c r="AK24" s="5">
        <f>+(AJ24)/$C$27</f>
        <v>-1.7641048204209343E-2</v>
      </c>
      <c r="AL24" s="12">
        <f t="shared" si="3"/>
        <v>320000</v>
      </c>
      <c r="AM24" s="12">
        <f t="shared" si="4"/>
        <v>-19429.144850188</v>
      </c>
      <c r="AN24" s="25"/>
    </row>
    <row r="25" spans="1:40" x14ac:dyDescent="0.15">
      <c r="B25" s="6"/>
      <c r="C25" s="6"/>
      <c r="D25" s="6"/>
      <c r="E25" s="10"/>
      <c r="N25" s="10"/>
      <c r="Q25" s="2"/>
      <c r="R25">
        <v>16</v>
      </c>
      <c r="S25" s="2"/>
      <c r="T25" s="2"/>
      <c r="V25">
        <f>SUM(S25:U25)</f>
        <v>0</v>
      </c>
      <c r="W25">
        <f t="shared" si="0"/>
        <v>0</v>
      </c>
      <c r="X25">
        <f t="shared" si="6"/>
        <v>0</v>
      </c>
      <c r="Y25">
        <f t="shared" si="7"/>
        <v>0</v>
      </c>
      <c r="Z25" s="10">
        <f t="shared" si="22"/>
        <v>0</v>
      </c>
      <c r="AB25" s="10">
        <f t="shared" si="23"/>
        <v>0</v>
      </c>
      <c r="AD25" s="10"/>
      <c r="AE25" s="10">
        <f t="shared" si="10"/>
        <v>0</v>
      </c>
      <c r="AH25" s="6" t="e">
        <f t="shared" si="11"/>
        <v>#DIV/0!</v>
      </c>
      <c r="AI25" s="6" t="e">
        <f t="shared" si="24"/>
        <v>#DIV/0!</v>
      </c>
      <c r="AJ25" s="6" t="e">
        <f t="shared" si="25"/>
        <v>#DIV/0!</v>
      </c>
      <c r="AK25" s="5" t="e">
        <f>+(AJ25)/$C$27</f>
        <v>#DIV/0!</v>
      </c>
      <c r="AL25" s="12">
        <f t="shared" si="3"/>
        <v>0</v>
      </c>
      <c r="AM25" s="12"/>
      <c r="AN25" s="25"/>
    </row>
    <row r="26" spans="1:40" x14ac:dyDescent="0.15">
      <c r="A26" s="24" t="s">
        <v>73</v>
      </c>
      <c r="B26" s="6"/>
      <c r="C26" s="6">
        <f>+C22-C24</f>
        <v>539.61320000000001</v>
      </c>
      <c r="D26" s="6"/>
      <c r="Q26" s="2"/>
      <c r="S26" s="2"/>
      <c r="U26" s="2"/>
      <c r="V26">
        <f>SUM(S26:U26)</f>
        <v>0</v>
      </c>
      <c r="W26">
        <f t="shared" si="0"/>
        <v>0</v>
      </c>
      <c r="X26">
        <f t="shared" si="6"/>
        <v>0</v>
      </c>
      <c r="Y26">
        <f t="shared" si="7"/>
        <v>0</v>
      </c>
      <c r="Z26" s="10">
        <f t="shared" si="22"/>
        <v>0</v>
      </c>
      <c r="AA26" s="10"/>
      <c r="AC26" s="10"/>
      <c r="AD26" s="10"/>
      <c r="AE26" s="10">
        <f t="shared" si="10"/>
        <v>0</v>
      </c>
      <c r="AF26" s="11"/>
      <c r="AH26" s="6" t="e">
        <f t="shared" si="11"/>
        <v>#DIV/0!</v>
      </c>
      <c r="AI26" s="6" t="e">
        <f t="shared" si="24"/>
        <v>#DIV/0!</v>
      </c>
      <c r="AJ26" s="6" t="e">
        <f t="shared" si="25"/>
        <v>#DIV/0!</v>
      </c>
      <c r="AK26" s="5" t="e">
        <f>+(AJ26)/$C$27</f>
        <v>#DIV/0!</v>
      </c>
      <c r="AL26" s="12">
        <f t="shared" si="3"/>
        <v>0</v>
      </c>
      <c r="AM26" s="12"/>
      <c r="AN26" s="25"/>
    </row>
    <row r="27" spans="1:40" x14ac:dyDescent="0.15">
      <c r="B27" s="6"/>
      <c r="C27" s="6">
        <v>520</v>
      </c>
      <c r="D27" s="6" t="s">
        <v>74</v>
      </c>
      <c r="K27" s="26" t="s">
        <v>75</v>
      </c>
      <c r="L27" t="s">
        <v>76</v>
      </c>
      <c r="M27" s="26" t="s">
        <v>77</v>
      </c>
      <c r="N27" s="10"/>
      <c r="O27" s="27"/>
      <c r="Q27" s="2"/>
      <c r="S27">
        <f>SUM(S12:S25)</f>
        <v>593</v>
      </c>
      <c r="T27">
        <f t="shared" ref="T27:Z27" si="26">SUM(T12:T25)</f>
        <v>440</v>
      </c>
      <c r="U27">
        <f t="shared" si="26"/>
        <v>81</v>
      </c>
      <c r="V27">
        <f t="shared" si="26"/>
        <v>1114</v>
      </c>
      <c r="W27">
        <f t="shared" si="26"/>
        <v>17197</v>
      </c>
      <c r="X27">
        <f t="shared" si="26"/>
        <v>13536</v>
      </c>
      <c r="Y27">
        <f t="shared" si="26"/>
        <v>1377</v>
      </c>
      <c r="Z27">
        <f t="shared" si="26"/>
        <v>32110</v>
      </c>
      <c r="AA27" s="10"/>
      <c r="AB27">
        <f t="shared" ref="AB27:AG27" si="27">SUM(AB12:AB25)</f>
        <v>30154</v>
      </c>
      <c r="AC27">
        <f t="shared" si="27"/>
        <v>0</v>
      </c>
      <c r="AD27">
        <f t="shared" si="27"/>
        <v>665.04000000000008</v>
      </c>
      <c r="AE27">
        <f t="shared" si="27"/>
        <v>30819.040000000001</v>
      </c>
      <c r="AF27">
        <f t="shared" si="27"/>
        <v>3.4</v>
      </c>
      <c r="AG27">
        <f t="shared" si="27"/>
        <v>0</v>
      </c>
      <c r="AH27" s="6"/>
      <c r="AI27" s="6"/>
      <c r="AJ27" s="6"/>
      <c r="AK27" s="5"/>
      <c r="AL27">
        <f>SUM(AL12:AL25)</f>
        <v>544000</v>
      </c>
      <c r="AM27" s="6">
        <f>SUM(AM12:AM25)</f>
        <v>3873935.4290713216</v>
      </c>
      <c r="AN27" s="28"/>
    </row>
    <row r="28" spans="1:40" x14ac:dyDescent="0.15">
      <c r="A28" s="9" t="s">
        <v>78</v>
      </c>
      <c r="B28" s="6"/>
      <c r="C28" s="6"/>
      <c r="D28" s="6"/>
      <c r="E28" s="26" t="s">
        <v>198</v>
      </c>
      <c r="F28" s="29">
        <f>+AE143</f>
        <v>30819.040000000001</v>
      </c>
      <c r="G28" s="9"/>
      <c r="H28" s="26"/>
      <c r="I28" s="26" t="s">
        <v>121</v>
      </c>
      <c r="J28" s="26" t="s">
        <v>122</v>
      </c>
      <c r="K28" s="26" t="s">
        <v>23</v>
      </c>
      <c r="L28" s="26" t="s">
        <v>123</v>
      </c>
      <c r="M28" s="26" t="s">
        <v>23</v>
      </c>
      <c r="N28" s="26" t="s">
        <v>124</v>
      </c>
      <c r="S28" s="2"/>
      <c r="U28" s="2"/>
      <c r="AA28" s="10"/>
      <c r="AB28" s="10"/>
      <c r="AC28" s="10"/>
      <c r="AE28" s="10"/>
      <c r="AF28" s="11"/>
      <c r="AH28" s="6"/>
      <c r="AI28" s="6"/>
      <c r="AJ28" s="6"/>
      <c r="AK28" s="5"/>
      <c r="AL28" s="12"/>
      <c r="AM28" s="12"/>
      <c r="AN28" s="28"/>
    </row>
    <row r="29" spans="1:40" x14ac:dyDescent="0.15">
      <c r="A29" s="9"/>
      <c r="B29" s="6"/>
      <c r="C29" s="6"/>
      <c r="D29" s="6"/>
      <c r="E29" s="2" t="s">
        <v>23</v>
      </c>
      <c r="F29" s="2" t="s">
        <v>58</v>
      </c>
      <c r="H29" s="2"/>
      <c r="I29" s="2"/>
      <c r="K29" s="2"/>
      <c r="S29" s="2"/>
      <c r="U29" s="2"/>
      <c r="V29">
        <f t="shared" si="5"/>
        <v>0</v>
      </c>
      <c r="W29">
        <f t="shared" si="0"/>
        <v>0</v>
      </c>
      <c r="X29">
        <f t="shared" si="6"/>
        <v>0</v>
      </c>
      <c r="Y29">
        <f t="shared" si="7"/>
        <v>0</v>
      </c>
      <c r="Z29">
        <f>SUM(W29:Y29)</f>
        <v>0</v>
      </c>
      <c r="AA29" s="10" t="e">
        <f>+AE29/V29</f>
        <v>#DIV/0!</v>
      </c>
      <c r="AB29" s="10">
        <f>+Z29*$W$3</f>
        <v>0</v>
      </c>
      <c r="AC29" s="10"/>
      <c r="AD29" s="10"/>
      <c r="AE29" s="10">
        <f>SUM(AB29:AD29)</f>
        <v>0</v>
      </c>
      <c r="AF29" s="11"/>
      <c r="AH29" s="6" t="e">
        <f>+(AF29*$C$42)/(AB29+AD29+AC29)</f>
        <v>#DIV/0!</v>
      </c>
      <c r="AI29" s="6" t="e">
        <f>+AH29+$AB$7</f>
        <v>#DIV/0!</v>
      </c>
      <c r="AJ29" s="6" t="e">
        <f>++$C$27-AI29</f>
        <v>#DIV/0!</v>
      </c>
      <c r="AK29" s="5" t="e">
        <f>+(AJ29)/$AD$3</f>
        <v>#DIV/0!</v>
      </c>
      <c r="AL29" s="12">
        <f>+AF29*$C$42</f>
        <v>0</v>
      </c>
      <c r="AM29" s="12"/>
      <c r="AN29" s="19"/>
    </row>
    <row r="30" spans="1:40" x14ac:dyDescent="0.15">
      <c r="A30" s="9"/>
      <c r="B30" s="6"/>
      <c r="C30" s="6"/>
      <c r="D30" s="6"/>
      <c r="E30" s="2"/>
      <c r="F30" s="2"/>
      <c r="H30" s="30"/>
      <c r="I30" s="10">
        <f>+V143</f>
        <v>1114</v>
      </c>
      <c r="J30" s="10">
        <f>+N30/I30</f>
        <v>27.665206463195691</v>
      </c>
      <c r="K30" s="31">
        <f>+AB143</f>
        <v>30154</v>
      </c>
      <c r="L30" s="10">
        <f>+AC143</f>
        <v>0</v>
      </c>
      <c r="M30" s="10">
        <f>+AD143</f>
        <v>665.04000000000008</v>
      </c>
      <c r="N30" s="10">
        <f>SUM(K30:M30)</f>
        <v>30819.040000000001</v>
      </c>
      <c r="S30" s="2"/>
      <c r="U30" s="2"/>
      <c r="V30">
        <f t="shared" si="5"/>
        <v>0</v>
      </c>
      <c r="W30">
        <f t="shared" si="0"/>
        <v>0</v>
      </c>
      <c r="X30">
        <f t="shared" si="6"/>
        <v>0</v>
      </c>
      <c r="Y30">
        <f t="shared" si="7"/>
        <v>0</v>
      </c>
      <c r="Z30">
        <f>SUM(W30:Y30)</f>
        <v>0</v>
      </c>
      <c r="AA30" s="10" t="e">
        <f>+AE30/V30</f>
        <v>#DIV/0!</v>
      </c>
      <c r="AB30" s="10"/>
      <c r="AC30" s="10"/>
      <c r="AD30" s="10">
        <f>+Z30*$V$3</f>
        <v>0</v>
      </c>
      <c r="AE30" s="10">
        <f>SUM(AB30:AD30)</f>
        <v>0</v>
      </c>
      <c r="AF30" s="11"/>
      <c r="AH30" s="6" t="e">
        <f>+(AF30*$C$42)/(AB30+AD30+AC30)</f>
        <v>#DIV/0!</v>
      </c>
      <c r="AI30" s="6" t="e">
        <f>+AH30+$AD$7</f>
        <v>#DIV/0!</v>
      </c>
      <c r="AJ30" s="6" t="e">
        <f>+$AD$3-AI30</f>
        <v>#DIV/0!</v>
      </c>
      <c r="AK30" s="5" t="e">
        <f>+(AJ30)/$C$27</f>
        <v>#DIV/0!</v>
      </c>
      <c r="AL30" s="12">
        <f>+AF30*$C$42</f>
        <v>0</v>
      </c>
      <c r="AM30" s="12"/>
    </row>
    <row r="31" spans="1:40" x14ac:dyDescent="0.15">
      <c r="A31" s="14" t="s">
        <v>125</v>
      </c>
      <c r="B31" s="6"/>
      <c r="C31" s="6">
        <f t="shared" ref="C31:C36" si="28">+C180</f>
        <v>54.891304347826086</v>
      </c>
      <c r="D31" s="6"/>
      <c r="E31" s="10">
        <f>+$F$28</f>
        <v>30819.040000000001</v>
      </c>
      <c r="F31" s="6">
        <f>+E31*C31</f>
        <v>1691697.3043478262</v>
      </c>
      <c r="J31" t="s">
        <v>126</v>
      </c>
      <c r="K31" s="4">
        <f>+K30/$N$30</f>
        <v>0.97842113187172597</v>
      </c>
      <c r="L31" s="4">
        <f>+L30/$N$30</f>
        <v>0</v>
      </c>
      <c r="M31" s="4">
        <f>+M30/$N$30</f>
        <v>2.1578868128273952E-2</v>
      </c>
      <c r="N31" s="11"/>
      <c r="S31" s="2"/>
      <c r="U31" s="2"/>
      <c r="V31">
        <f t="shared" si="5"/>
        <v>0</v>
      </c>
      <c r="W31">
        <f t="shared" si="0"/>
        <v>0</v>
      </c>
      <c r="X31">
        <f t="shared" si="6"/>
        <v>0</v>
      </c>
      <c r="Y31">
        <f t="shared" si="7"/>
        <v>0</v>
      </c>
      <c r="Z31">
        <f>SUM(W31:Y31)</f>
        <v>0</v>
      </c>
      <c r="AA31" s="10" t="e">
        <f>+AE31/V31</f>
        <v>#DIV/0!</v>
      </c>
      <c r="AB31" s="10"/>
      <c r="AC31" s="10"/>
      <c r="AD31" s="10">
        <f>+Z31*$V$3</f>
        <v>0</v>
      </c>
      <c r="AE31" s="10">
        <f>SUM(AB31:AD31)</f>
        <v>0</v>
      </c>
      <c r="AF31" s="11"/>
      <c r="AH31" s="6" t="e">
        <f>+(AF31*$C$42)/(AB31+AD31+AC31)</f>
        <v>#DIV/0!</v>
      </c>
      <c r="AI31" s="6" t="e">
        <f>+AH31+$AD$7</f>
        <v>#DIV/0!</v>
      </c>
      <c r="AJ31" s="6" t="e">
        <f>+$AD$3-AI31</f>
        <v>#DIV/0!</v>
      </c>
      <c r="AK31" s="5" t="e">
        <f>+(AJ31)/$C$27</f>
        <v>#DIV/0!</v>
      </c>
      <c r="AL31" s="12">
        <f>+AF31*$C$42</f>
        <v>0</v>
      </c>
      <c r="AM31" s="12"/>
      <c r="AN31" s="32"/>
    </row>
    <row r="32" spans="1:40" x14ac:dyDescent="0.15">
      <c r="A32" s="14" t="s">
        <v>75</v>
      </c>
      <c r="B32" s="6"/>
      <c r="C32" s="6">
        <f t="shared" si="28"/>
        <v>181.23646529311029</v>
      </c>
      <c r="D32" s="6"/>
      <c r="E32" s="10">
        <f>+AB143</f>
        <v>30154</v>
      </c>
      <c r="F32" s="6">
        <f t="shared" ref="F32:F44" si="29">+E32*C32</f>
        <v>5465004.3744484475</v>
      </c>
      <c r="I32" s="10"/>
      <c r="J32" t="s">
        <v>127</v>
      </c>
      <c r="K32" s="6">
        <f>+C27</f>
        <v>520</v>
      </c>
      <c r="L32" s="6">
        <f>+C27</f>
        <v>520</v>
      </c>
      <c r="M32" s="6">
        <f>+H23</f>
        <v>700</v>
      </c>
      <c r="N32" s="11"/>
      <c r="S32" s="2"/>
      <c r="U32" s="2"/>
      <c r="V32">
        <f t="shared" si="5"/>
        <v>0</v>
      </c>
      <c r="W32">
        <f t="shared" si="0"/>
        <v>0</v>
      </c>
      <c r="X32">
        <f t="shared" si="6"/>
        <v>0</v>
      </c>
      <c r="Y32">
        <f t="shared" si="7"/>
        <v>0</v>
      </c>
      <c r="Z32">
        <f>SUM(W32:Y32)</f>
        <v>0</v>
      </c>
      <c r="AA32" s="10" t="e">
        <f>+AE32/V32</f>
        <v>#DIV/0!</v>
      </c>
      <c r="AB32" s="10"/>
      <c r="AC32" s="10"/>
      <c r="AD32" s="10">
        <f>+Z32*$V$3</f>
        <v>0</v>
      </c>
      <c r="AE32" s="10">
        <f>SUM(AB32:AD32)</f>
        <v>0</v>
      </c>
      <c r="AF32" s="11"/>
      <c r="AH32" s="6" t="e">
        <f>+(AF32*$C$42)/(AB32+AD32+AC32)</f>
        <v>#DIV/0!</v>
      </c>
      <c r="AI32" s="6" t="e">
        <f>+AH32+$AD$7</f>
        <v>#DIV/0!</v>
      </c>
      <c r="AJ32" s="6" t="e">
        <f>+$AD$3-AI32</f>
        <v>#DIV/0!</v>
      </c>
      <c r="AK32" s="5" t="e">
        <f>+(AJ32)/$C$27</f>
        <v>#DIV/0!</v>
      </c>
      <c r="AL32" s="12">
        <f>+AF32*$C$42</f>
        <v>0</v>
      </c>
      <c r="AM32" s="12"/>
      <c r="AN32" s="33"/>
    </row>
    <row r="33" spans="1:40" x14ac:dyDescent="0.15">
      <c r="A33" s="14" t="s">
        <v>128</v>
      </c>
      <c r="B33" s="6"/>
      <c r="C33" s="6">
        <f t="shared" si="28"/>
        <v>234.09579178810708</v>
      </c>
      <c r="D33" s="6"/>
      <c r="E33" s="10"/>
      <c r="F33" s="6">
        <f t="shared" si="29"/>
        <v>0</v>
      </c>
      <c r="I33" s="10"/>
      <c r="J33" t="s">
        <v>129</v>
      </c>
      <c r="K33" s="6">
        <f>+K32*K31</f>
        <v>508.77898857329751</v>
      </c>
      <c r="L33" s="6">
        <f>+L32*L31</f>
        <v>0</v>
      </c>
      <c r="M33" s="6">
        <f>+M32*M31</f>
        <v>15.105207689791767</v>
      </c>
      <c r="N33" s="6">
        <f>SUM(K33:M33)</f>
        <v>523.88419626308928</v>
      </c>
      <c r="S33" s="2"/>
      <c r="U33" s="2"/>
      <c r="V33">
        <f t="shared" si="5"/>
        <v>0</v>
      </c>
      <c r="W33">
        <f t="shared" si="0"/>
        <v>0</v>
      </c>
      <c r="X33">
        <f t="shared" si="6"/>
        <v>0</v>
      </c>
      <c r="Y33">
        <f t="shared" si="7"/>
        <v>0</v>
      </c>
      <c r="Z33">
        <f>SUM(W33:Y33)</f>
        <v>0</v>
      </c>
      <c r="AA33" s="10" t="e">
        <f>+AE33/V33</f>
        <v>#DIV/0!</v>
      </c>
      <c r="AB33" s="10">
        <f>+Z33*$W$3</f>
        <v>0</v>
      </c>
      <c r="AC33" s="10"/>
      <c r="AD33" s="10"/>
      <c r="AE33" s="10">
        <f>SUM(AB33:AD33)</f>
        <v>0</v>
      </c>
      <c r="AF33" s="11"/>
      <c r="AH33" s="6" t="e">
        <f>+(AF33*$C$42)/(AB33+AD33+AC33)</f>
        <v>#DIV/0!</v>
      </c>
      <c r="AI33" s="6" t="e">
        <f>+AH33+$AB$7</f>
        <v>#DIV/0!</v>
      </c>
      <c r="AJ33" s="6" t="e">
        <f>+$C$27-AI33</f>
        <v>#DIV/0!</v>
      </c>
      <c r="AK33" s="5" t="e">
        <f>+(AJ33)/$C$27</f>
        <v>#DIV/0!</v>
      </c>
      <c r="AL33" s="12">
        <f>+AF33*$C$42</f>
        <v>0</v>
      </c>
      <c r="AM33" s="12"/>
      <c r="AN33" s="33"/>
    </row>
    <row r="34" spans="1:40" x14ac:dyDescent="0.15">
      <c r="A34" t="s">
        <v>130</v>
      </c>
      <c r="B34" s="6"/>
      <c r="C34" s="6">
        <f t="shared" si="28"/>
        <v>208.18635803209253</v>
      </c>
      <c r="D34" s="6"/>
      <c r="E34" s="10"/>
      <c r="F34" s="6"/>
      <c r="I34" s="10"/>
      <c r="K34" s="10"/>
      <c r="M34" s="10"/>
      <c r="N34" s="11"/>
      <c r="S34" s="2"/>
      <c r="U34" s="2"/>
      <c r="AA34" s="10"/>
      <c r="AB34" s="10"/>
      <c r="AC34" s="10"/>
      <c r="AD34" s="10"/>
      <c r="AE34" s="10"/>
      <c r="AF34" s="11"/>
      <c r="AH34" s="6"/>
      <c r="AI34" s="6"/>
      <c r="AJ34" s="6"/>
      <c r="AK34" s="5"/>
      <c r="AL34" s="12"/>
      <c r="AM34" s="12"/>
      <c r="AN34" s="33"/>
    </row>
    <row r="35" spans="1:40" x14ac:dyDescent="0.15">
      <c r="A35" t="s">
        <v>131</v>
      </c>
      <c r="B35" s="6"/>
      <c r="C35" s="6">
        <f>+C184</f>
        <v>67.080285822859508</v>
      </c>
      <c r="D35" s="6"/>
      <c r="E35" s="10"/>
      <c r="F35" s="6"/>
      <c r="I35" s="10"/>
      <c r="K35" s="10"/>
      <c r="M35" s="10"/>
      <c r="N35" s="11"/>
      <c r="S35">
        <f>SUM(S29:S33)</f>
        <v>0</v>
      </c>
      <c r="T35">
        <f t="shared" ref="T35:Z35" si="30">SUM(T29:T33)</f>
        <v>0</v>
      </c>
      <c r="U35">
        <f t="shared" si="30"/>
        <v>0</v>
      </c>
      <c r="V35">
        <f t="shared" si="30"/>
        <v>0</v>
      </c>
      <c r="W35">
        <f t="shared" si="30"/>
        <v>0</v>
      </c>
      <c r="X35">
        <f t="shared" si="30"/>
        <v>0</v>
      </c>
      <c r="Y35">
        <f t="shared" si="30"/>
        <v>0</v>
      </c>
      <c r="Z35">
        <f t="shared" si="30"/>
        <v>0</v>
      </c>
      <c r="AA35" s="10"/>
      <c r="AB35">
        <f t="shared" ref="AB35:AG35" si="31">SUM(AB29:AB33)</f>
        <v>0</v>
      </c>
      <c r="AC35">
        <f t="shared" si="31"/>
        <v>0</v>
      </c>
      <c r="AD35" s="10">
        <f t="shared" si="31"/>
        <v>0</v>
      </c>
      <c r="AE35" s="10">
        <f t="shared" si="31"/>
        <v>0</v>
      </c>
      <c r="AF35">
        <f t="shared" si="31"/>
        <v>0</v>
      </c>
      <c r="AG35">
        <f t="shared" si="31"/>
        <v>0</v>
      </c>
      <c r="AH35" s="6"/>
      <c r="AI35" s="6"/>
      <c r="AJ35" s="6"/>
      <c r="AK35" s="5"/>
      <c r="AL35" s="6">
        <f>SUM(AL29:AL33)</f>
        <v>0</v>
      </c>
      <c r="AM35" s="6">
        <f>SUM(AM29:AM33)</f>
        <v>0</v>
      </c>
      <c r="AN35" s="33"/>
    </row>
    <row r="36" spans="1:40" x14ac:dyDescent="0.15">
      <c r="A36" t="s">
        <v>132</v>
      </c>
      <c r="B36" s="6"/>
      <c r="C36" s="6">
        <f t="shared" si="28"/>
        <v>118.98597254985789</v>
      </c>
      <c r="D36" s="6"/>
      <c r="E36" s="10"/>
      <c r="F36" s="6"/>
      <c r="I36" s="10"/>
      <c r="K36" s="10"/>
      <c r="M36" s="10"/>
      <c r="N36" s="11"/>
      <c r="S36" s="2"/>
      <c r="U36" s="2"/>
      <c r="AA36" s="10"/>
      <c r="AB36" s="10"/>
      <c r="AC36" s="10"/>
      <c r="AE36" s="10"/>
      <c r="AF36" s="11"/>
      <c r="AH36" s="6"/>
      <c r="AI36" s="6"/>
      <c r="AJ36" s="6"/>
      <c r="AK36" s="5"/>
      <c r="AL36" s="12"/>
      <c r="AM36" s="12"/>
      <c r="AN36" s="33"/>
    </row>
    <row r="37" spans="1:40" x14ac:dyDescent="0.15">
      <c r="A37" s="14" t="s">
        <v>133</v>
      </c>
      <c r="B37" s="6"/>
      <c r="C37" s="6">
        <v>330</v>
      </c>
      <c r="D37" s="6"/>
      <c r="E37" s="10">
        <f>+AD143</f>
        <v>665.04000000000008</v>
      </c>
      <c r="F37" s="6">
        <f t="shared" si="29"/>
        <v>219463.2</v>
      </c>
      <c r="I37" s="10"/>
      <c r="K37" s="10"/>
      <c r="L37" s="10"/>
      <c r="M37" s="10"/>
      <c r="N37" s="11"/>
      <c r="S37" s="2"/>
      <c r="U37" s="2"/>
      <c r="V37">
        <f>SUM(S37:U37)</f>
        <v>0</v>
      </c>
      <c r="W37">
        <f>+S37*$S$7</f>
        <v>0</v>
      </c>
      <c r="X37">
        <f>+T37*$T$7</f>
        <v>0</v>
      </c>
      <c r="Y37">
        <f>+U37*$U$7</f>
        <v>0</v>
      </c>
      <c r="Z37" s="10">
        <f>SUM(W37:Y37)</f>
        <v>0</v>
      </c>
      <c r="AA37" s="10" t="e">
        <f t="shared" ref="AA37:AA47" si="32">+AE37/V37</f>
        <v>#DIV/0!</v>
      </c>
      <c r="AB37" s="10">
        <f>+Z37*$W$3</f>
        <v>0</v>
      </c>
      <c r="AC37" s="10"/>
      <c r="AD37" s="10"/>
      <c r="AE37" s="10">
        <f t="shared" ref="AE37:AE47" si="33">SUM(AB37:AD37)</f>
        <v>0</v>
      </c>
      <c r="AF37" s="11"/>
      <c r="AH37" s="6" t="e">
        <f t="shared" ref="AH37:AH47" si="34">+(AF37*$C$42)/(AB37+AD37+AC37)</f>
        <v>#DIV/0!</v>
      </c>
      <c r="AI37" s="6" t="e">
        <f t="shared" ref="AI37:AI47" si="35">+AH37+$AB$7</f>
        <v>#DIV/0!</v>
      </c>
      <c r="AJ37" s="6" t="e">
        <f t="shared" ref="AJ37:AJ47" si="36">+$C$27-AI37</f>
        <v>#DIV/0!</v>
      </c>
      <c r="AK37" s="5" t="e">
        <f t="shared" ref="AK37:AK47" si="37">+(AJ37)/$C$27</f>
        <v>#DIV/0!</v>
      </c>
      <c r="AL37" s="12">
        <f t="shared" ref="AL37:AL47" si="38">+AF37*$C$42</f>
        <v>0</v>
      </c>
      <c r="AM37" s="12"/>
    </row>
    <row r="38" spans="1:40" x14ac:dyDescent="0.15">
      <c r="A38" s="14" t="s">
        <v>134</v>
      </c>
      <c r="C38" s="6">
        <f>+D109</f>
        <v>35</v>
      </c>
      <c r="E38" s="10">
        <f>+F28</f>
        <v>30819.040000000001</v>
      </c>
      <c r="F38" s="6">
        <f t="shared" si="29"/>
        <v>1078666.4000000001</v>
      </c>
      <c r="I38" s="10"/>
      <c r="K38" s="10"/>
      <c r="L38" s="10"/>
      <c r="M38" s="10"/>
      <c r="N38" s="11"/>
      <c r="S38" s="2"/>
      <c r="U38" s="2"/>
      <c r="V38">
        <f>SUM(S38:U38)</f>
        <v>0</v>
      </c>
      <c r="W38">
        <f>+S38*$S$7</f>
        <v>0</v>
      </c>
      <c r="X38">
        <f>+T38*$T$7</f>
        <v>0</v>
      </c>
      <c r="Y38">
        <f>+U38*$U$7</f>
        <v>0</v>
      </c>
      <c r="Z38" s="10">
        <f t="shared" ref="Z38:Z47" si="39">SUM(W38:Y38)</f>
        <v>0</v>
      </c>
      <c r="AA38" s="10" t="e">
        <f t="shared" si="32"/>
        <v>#DIV/0!</v>
      </c>
      <c r="AB38" s="10"/>
      <c r="AC38" s="10"/>
      <c r="AD38" s="10">
        <f>+Z38*$V$3</f>
        <v>0</v>
      </c>
      <c r="AE38" s="10">
        <f t="shared" si="33"/>
        <v>0</v>
      </c>
      <c r="AF38" s="11"/>
      <c r="AH38" s="6" t="e">
        <f t="shared" si="34"/>
        <v>#DIV/0!</v>
      </c>
      <c r="AI38" s="6" t="e">
        <f>+AH38+$AD$7</f>
        <v>#DIV/0!</v>
      </c>
      <c r="AJ38" s="6" t="e">
        <f>+$AD$3-AI38</f>
        <v>#DIV/0!</v>
      </c>
      <c r="AK38" s="5" t="e">
        <f t="shared" si="37"/>
        <v>#DIV/0!</v>
      </c>
      <c r="AL38" s="12">
        <f t="shared" si="38"/>
        <v>0</v>
      </c>
      <c r="AM38" s="12"/>
    </row>
    <row r="39" spans="1:40" x14ac:dyDescent="0.15">
      <c r="A39" s="14" t="s">
        <v>135</v>
      </c>
      <c r="C39" s="6">
        <v>66</v>
      </c>
      <c r="E39" s="10">
        <f>+F28</f>
        <v>30819.040000000001</v>
      </c>
      <c r="F39" s="6">
        <f t="shared" si="29"/>
        <v>2034056.6400000001</v>
      </c>
      <c r="I39" s="10"/>
      <c r="K39" s="10"/>
      <c r="L39" s="10"/>
      <c r="M39" s="10"/>
      <c r="N39" s="11"/>
      <c r="S39" s="2"/>
      <c r="U39" s="2"/>
      <c r="V39">
        <f>SUM(S39:U39)</f>
        <v>0</v>
      </c>
      <c r="W39">
        <f>+S39*$S$7</f>
        <v>0</v>
      </c>
      <c r="X39">
        <f>+T39*$T$7</f>
        <v>0</v>
      </c>
      <c r="Y39">
        <f>+U39*$U$7</f>
        <v>0</v>
      </c>
      <c r="Z39" s="10">
        <f t="shared" si="39"/>
        <v>0</v>
      </c>
      <c r="AA39" s="10" t="e">
        <f t="shared" si="32"/>
        <v>#DIV/0!</v>
      </c>
      <c r="AB39" s="10"/>
      <c r="AC39" s="10"/>
      <c r="AD39" s="10">
        <f>+Z39*$V$3</f>
        <v>0</v>
      </c>
      <c r="AE39" s="10">
        <f t="shared" si="33"/>
        <v>0</v>
      </c>
      <c r="AF39" s="11"/>
      <c r="AH39" s="6" t="e">
        <f t="shared" si="34"/>
        <v>#DIV/0!</v>
      </c>
      <c r="AI39" s="6" t="e">
        <f>+AH39+$AD$7</f>
        <v>#DIV/0!</v>
      </c>
      <c r="AJ39" s="6" t="e">
        <f>+$AD$3-AI39</f>
        <v>#DIV/0!</v>
      </c>
      <c r="AK39" s="5" t="e">
        <f t="shared" si="37"/>
        <v>#DIV/0!</v>
      </c>
      <c r="AL39" s="12">
        <f t="shared" si="38"/>
        <v>0</v>
      </c>
      <c r="AM39" s="12"/>
    </row>
    <row r="40" spans="1:40" x14ac:dyDescent="0.15">
      <c r="A40" s="14" t="s">
        <v>136</v>
      </c>
      <c r="C40" s="6">
        <v>20</v>
      </c>
      <c r="E40" s="10">
        <f>+F28</f>
        <v>30819.040000000001</v>
      </c>
      <c r="F40" s="6">
        <f t="shared" si="29"/>
        <v>616380.80000000005</v>
      </c>
      <c r="I40" s="10"/>
      <c r="S40" s="2"/>
      <c r="U40" s="2"/>
      <c r="V40">
        <f>SUM(S40:U40)</f>
        <v>0</v>
      </c>
      <c r="W40">
        <f>+S40*$S$7</f>
        <v>0</v>
      </c>
      <c r="X40">
        <f>+T40*$T$7</f>
        <v>0</v>
      </c>
      <c r="Y40">
        <f>+U40*$U$7</f>
        <v>0</v>
      </c>
      <c r="Z40" s="10">
        <f t="shared" si="39"/>
        <v>0</v>
      </c>
      <c r="AA40" s="10" t="e">
        <f t="shared" si="32"/>
        <v>#DIV/0!</v>
      </c>
      <c r="AB40" s="10">
        <f t="shared" ref="AB40:AB47" si="40">+Z40*$W$3</f>
        <v>0</v>
      </c>
      <c r="AC40" s="10"/>
      <c r="AE40" s="10">
        <f t="shared" si="33"/>
        <v>0</v>
      </c>
      <c r="AF40" s="11"/>
      <c r="AH40" s="6" t="e">
        <f t="shared" si="34"/>
        <v>#DIV/0!</v>
      </c>
      <c r="AI40" s="6" t="e">
        <f t="shared" si="35"/>
        <v>#DIV/0!</v>
      </c>
      <c r="AJ40" s="6" t="e">
        <f t="shared" si="36"/>
        <v>#DIV/0!</v>
      </c>
      <c r="AK40" s="5" t="e">
        <f t="shared" si="37"/>
        <v>#DIV/0!</v>
      </c>
      <c r="AL40" s="12">
        <f t="shared" si="38"/>
        <v>0</v>
      </c>
      <c r="AM40" s="12"/>
    </row>
    <row r="41" spans="1:40" x14ac:dyDescent="0.15">
      <c r="A41" s="14" t="s">
        <v>137</v>
      </c>
      <c r="C41" s="6">
        <v>130000</v>
      </c>
      <c r="E41" s="10">
        <f>+O45</f>
        <v>0</v>
      </c>
      <c r="F41" s="6">
        <f t="shared" si="29"/>
        <v>0</v>
      </c>
      <c r="G41" s="6">
        <f>+F41/F28</f>
        <v>0</v>
      </c>
      <c r="I41" s="10"/>
      <c r="N41" s="11"/>
      <c r="S41" s="2"/>
      <c r="U41" s="2"/>
      <c r="V41">
        <f t="shared" ref="V41:V47" si="41">SUM(S41:U41)</f>
        <v>0</v>
      </c>
      <c r="W41">
        <f t="shared" ref="W41:W47" si="42">+S41*$S$7</f>
        <v>0</v>
      </c>
      <c r="X41">
        <f t="shared" ref="X41:X47" si="43">+T41*$T$7</f>
        <v>0</v>
      </c>
      <c r="Y41">
        <f t="shared" ref="Y41:Y47" si="44">+U41*$U$7</f>
        <v>0</v>
      </c>
      <c r="Z41" s="10">
        <f t="shared" si="39"/>
        <v>0</v>
      </c>
      <c r="AA41" s="10" t="e">
        <f t="shared" si="32"/>
        <v>#DIV/0!</v>
      </c>
      <c r="AB41" s="10">
        <f t="shared" si="40"/>
        <v>0</v>
      </c>
      <c r="AC41" s="10"/>
      <c r="AE41" s="10">
        <f t="shared" si="33"/>
        <v>0</v>
      </c>
      <c r="AF41" s="11"/>
      <c r="AH41" s="6" t="e">
        <f t="shared" si="34"/>
        <v>#DIV/0!</v>
      </c>
      <c r="AI41" s="6" t="e">
        <f t="shared" si="35"/>
        <v>#DIV/0!</v>
      </c>
      <c r="AJ41" s="6" t="e">
        <f t="shared" si="36"/>
        <v>#DIV/0!</v>
      </c>
      <c r="AK41" s="5" t="e">
        <f t="shared" si="37"/>
        <v>#DIV/0!</v>
      </c>
      <c r="AL41" s="12">
        <f t="shared" si="38"/>
        <v>0</v>
      </c>
      <c r="AM41" s="12"/>
    </row>
    <row r="42" spans="1:40" x14ac:dyDescent="0.15">
      <c r="A42" s="14" t="s">
        <v>138</v>
      </c>
      <c r="C42" s="6">
        <v>160000</v>
      </c>
      <c r="E42" s="144">
        <f>+AF143</f>
        <v>3.4</v>
      </c>
      <c r="F42" s="6">
        <f t="shared" si="29"/>
        <v>544000</v>
      </c>
      <c r="G42" s="6"/>
      <c r="I42" s="10"/>
      <c r="N42" s="11"/>
      <c r="S42" s="2"/>
      <c r="U42" s="2"/>
      <c r="V42">
        <f t="shared" si="41"/>
        <v>0</v>
      </c>
      <c r="W42">
        <f t="shared" si="42"/>
        <v>0</v>
      </c>
      <c r="X42">
        <f t="shared" si="43"/>
        <v>0</v>
      </c>
      <c r="Y42">
        <f t="shared" si="44"/>
        <v>0</v>
      </c>
      <c r="Z42" s="10">
        <f t="shared" si="39"/>
        <v>0</v>
      </c>
      <c r="AA42" s="10" t="e">
        <f t="shared" si="32"/>
        <v>#DIV/0!</v>
      </c>
      <c r="AB42" s="10">
        <f t="shared" si="40"/>
        <v>0</v>
      </c>
      <c r="AC42" s="10"/>
      <c r="AE42" s="10">
        <f t="shared" si="33"/>
        <v>0</v>
      </c>
      <c r="AF42" s="11"/>
      <c r="AH42" s="6" t="e">
        <f t="shared" si="34"/>
        <v>#DIV/0!</v>
      </c>
      <c r="AI42" s="6" t="e">
        <f t="shared" si="35"/>
        <v>#DIV/0!</v>
      </c>
      <c r="AJ42" s="6" t="e">
        <f t="shared" si="36"/>
        <v>#DIV/0!</v>
      </c>
      <c r="AK42" s="5" t="e">
        <f t="shared" si="37"/>
        <v>#DIV/0!</v>
      </c>
      <c r="AL42" s="12">
        <f t="shared" si="38"/>
        <v>0</v>
      </c>
      <c r="AM42" s="12"/>
    </row>
    <row r="43" spans="1:40" x14ac:dyDescent="0.15">
      <c r="A43" s="14" t="s">
        <v>139</v>
      </c>
      <c r="C43" s="6">
        <v>219000</v>
      </c>
      <c r="E43" s="11"/>
      <c r="F43" s="6">
        <f>+E43*C43</f>
        <v>0</v>
      </c>
      <c r="G43" s="6"/>
      <c r="I43" s="10"/>
      <c r="N43" s="11"/>
      <c r="S43" s="2"/>
      <c r="U43" s="2"/>
      <c r="V43">
        <f t="shared" si="41"/>
        <v>0</v>
      </c>
      <c r="W43">
        <f t="shared" si="42"/>
        <v>0</v>
      </c>
      <c r="X43">
        <f t="shared" si="43"/>
        <v>0</v>
      </c>
      <c r="Y43">
        <f t="shared" si="44"/>
        <v>0</v>
      </c>
      <c r="Z43" s="10">
        <f t="shared" si="39"/>
        <v>0</v>
      </c>
      <c r="AA43" s="10" t="e">
        <f t="shared" si="32"/>
        <v>#DIV/0!</v>
      </c>
      <c r="AB43" s="10">
        <f t="shared" si="40"/>
        <v>0</v>
      </c>
      <c r="AC43" s="10"/>
      <c r="AD43" s="10"/>
      <c r="AE43" s="10">
        <f t="shared" si="33"/>
        <v>0</v>
      </c>
      <c r="AF43" s="11"/>
      <c r="AH43" s="6" t="e">
        <f t="shared" si="34"/>
        <v>#DIV/0!</v>
      </c>
      <c r="AI43" s="6" t="e">
        <f t="shared" si="35"/>
        <v>#DIV/0!</v>
      </c>
      <c r="AJ43" s="6" t="e">
        <f t="shared" si="36"/>
        <v>#DIV/0!</v>
      </c>
      <c r="AK43" s="5" t="e">
        <f t="shared" si="37"/>
        <v>#DIV/0!</v>
      </c>
      <c r="AL43" s="12">
        <f t="shared" si="38"/>
        <v>0</v>
      </c>
      <c r="AM43" s="12"/>
    </row>
    <row r="44" spans="1:40" x14ac:dyDescent="0.15">
      <c r="A44" s="14" t="s">
        <v>143</v>
      </c>
      <c r="C44" s="6">
        <v>100000</v>
      </c>
      <c r="E44" s="10">
        <v>0</v>
      </c>
      <c r="F44" s="6">
        <f t="shared" si="29"/>
        <v>0</v>
      </c>
      <c r="G44" s="6"/>
      <c r="I44" s="10"/>
      <c r="N44" s="11"/>
      <c r="S44" s="2"/>
      <c r="U44" s="2"/>
      <c r="V44">
        <f t="shared" si="41"/>
        <v>0</v>
      </c>
      <c r="W44">
        <f t="shared" si="42"/>
        <v>0</v>
      </c>
      <c r="X44">
        <f t="shared" si="43"/>
        <v>0</v>
      </c>
      <c r="Y44">
        <f t="shared" si="44"/>
        <v>0</v>
      </c>
      <c r="Z44" s="10">
        <f t="shared" si="39"/>
        <v>0</v>
      </c>
      <c r="AA44" s="10" t="e">
        <f t="shared" si="32"/>
        <v>#DIV/0!</v>
      </c>
      <c r="AB44" s="10">
        <f t="shared" si="40"/>
        <v>0</v>
      </c>
      <c r="AC44" s="10"/>
      <c r="AE44" s="10">
        <f t="shared" si="33"/>
        <v>0</v>
      </c>
      <c r="AF44" s="11"/>
      <c r="AH44" s="6" t="e">
        <f t="shared" si="34"/>
        <v>#DIV/0!</v>
      </c>
      <c r="AI44" s="6" t="e">
        <f t="shared" si="35"/>
        <v>#DIV/0!</v>
      </c>
      <c r="AJ44" s="6" t="e">
        <f t="shared" si="36"/>
        <v>#DIV/0!</v>
      </c>
      <c r="AK44" s="5" t="e">
        <f t="shared" si="37"/>
        <v>#DIV/0!</v>
      </c>
      <c r="AL44" s="12">
        <f t="shared" si="38"/>
        <v>0</v>
      </c>
      <c r="AM44" s="12"/>
    </row>
    <row r="45" spans="1:40" x14ac:dyDescent="0.15">
      <c r="A45" s="14" t="s">
        <v>144</v>
      </c>
      <c r="C45" s="6">
        <f>+C189</f>
        <v>17.890909090909091</v>
      </c>
      <c r="E45" s="10">
        <f>+F28</f>
        <v>30819.040000000001</v>
      </c>
      <c r="F45" s="6">
        <f>+C45*E45</f>
        <v>551380.64290909097</v>
      </c>
      <c r="G45" s="6"/>
      <c r="S45" s="2"/>
      <c r="U45" s="2"/>
      <c r="V45">
        <f t="shared" si="41"/>
        <v>0</v>
      </c>
      <c r="W45">
        <f t="shared" si="42"/>
        <v>0</v>
      </c>
      <c r="X45">
        <f t="shared" si="43"/>
        <v>0</v>
      </c>
      <c r="Y45">
        <f t="shared" si="44"/>
        <v>0</v>
      </c>
      <c r="Z45" s="10">
        <f t="shared" si="39"/>
        <v>0</v>
      </c>
      <c r="AA45" s="10" t="e">
        <f t="shared" si="32"/>
        <v>#DIV/0!</v>
      </c>
      <c r="AB45" s="10">
        <f t="shared" si="40"/>
        <v>0</v>
      </c>
      <c r="AC45" s="10"/>
      <c r="AE45" s="10">
        <f t="shared" si="33"/>
        <v>0</v>
      </c>
      <c r="AF45" s="11"/>
      <c r="AH45" s="6" t="e">
        <f t="shared" si="34"/>
        <v>#DIV/0!</v>
      </c>
      <c r="AI45" s="6" t="e">
        <f t="shared" si="35"/>
        <v>#DIV/0!</v>
      </c>
      <c r="AJ45" s="6" t="e">
        <f t="shared" si="36"/>
        <v>#DIV/0!</v>
      </c>
      <c r="AK45" s="5" t="e">
        <f t="shared" si="37"/>
        <v>#DIV/0!</v>
      </c>
      <c r="AL45" s="12">
        <f t="shared" si="38"/>
        <v>0</v>
      </c>
      <c r="AM45" s="12"/>
      <c r="AN45" s="10"/>
    </row>
    <row r="46" spans="1:40" x14ac:dyDescent="0.15">
      <c r="A46" s="14" t="s">
        <v>145</v>
      </c>
      <c r="C46" s="6">
        <v>25000</v>
      </c>
      <c r="E46" s="10">
        <f>+AF143</f>
        <v>3.4</v>
      </c>
      <c r="F46" s="6">
        <f>+C46*E46</f>
        <v>85000</v>
      </c>
      <c r="G46" s="6"/>
      <c r="I46" s="10"/>
      <c r="S46" s="2"/>
      <c r="U46" s="2"/>
      <c r="V46">
        <f t="shared" si="41"/>
        <v>0</v>
      </c>
      <c r="W46">
        <f t="shared" si="42"/>
        <v>0</v>
      </c>
      <c r="X46">
        <f t="shared" si="43"/>
        <v>0</v>
      </c>
      <c r="Y46">
        <f t="shared" si="44"/>
        <v>0</v>
      </c>
      <c r="Z46" s="10">
        <f t="shared" si="39"/>
        <v>0</v>
      </c>
      <c r="AA46" s="10" t="e">
        <f t="shared" si="32"/>
        <v>#DIV/0!</v>
      </c>
      <c r="AB46" s="10">
        <f t="shared" si="40"/>
        <v>0</v>
      </c>
      <c r="AC46" s="10"/>
      <c r="AE46" s="10">
        <f t="shared" si="33"/>
        <v>0</v>
      </c>
      <c r="AF46" s="11"/>
      <c r="AH46" s="6" t="e">
        <f t="shared" si="34"/>
        <v>#DIV/0!</v>
      </c>
      <c r="AI46" s="6" t="e">
        <f t="shared" si="35"/>
        <v>#DIV/0!</v>
      </c>
      <c r="AJ46" s="6" t="e">
        <f t="shared" si="36"/>
        <v>#DIV/0!</v>
      </c>
      <c r="AK46" s="5" t="e">
        <f t="shared" si="37"/>
        <v>#DIV/0!</v>
      </c>
      <c r="AL46" s="12">
        <f t="shared" si="38"/>
        <v>0</v>
      </c>
      <c r="AM46" s="12"/>
      <c r="AN46" s="6"/>
    </row>
    <row r="47" spans="1:40" x14ac:dyDescent="0.15">
      <c r="A47" s="14" t="s">
        <v>146</v>
      </c>
      <c r="B47" s="5">
        <f>+C47/C22</f>
        <v>0.17253766777543778</v>
      </c>
      <c r="C47" s="6">
        <f>+D47/E47</f>
        <v>125.69941922497655</v>
      </c>
      <c r="D47" s="6">
        <f>+AM143</f>
        <v>3873935.4290713216</v>
      </c>
      <c r="E47" s="10">
        <f>+F28</f>
        <v>30819.040000000001</v>
      </c>
      <c r="F47" s="6"/>
      <c r="G47" s="6">
        <f>+F47/F28</f>
        <v>0</v>
      </c>
      <c r="I47" s="10"/>
      <c r="N47" s="11"/>
      <c r="S47" s="2"/>
      <c r="U47" s="2"/>
      <c r="V47">
        <f t="shared" si="41"/>
        <v>0</v>
      </c>
      <c r="W47">
        <f t="shared" si="42"/>
        <v>0</v>
      </c>
      <c r="X47">
        <f t="shared" si="43"/>
        <v>0</v>
      </c>
      <c r="Y47">
        <f t="shared" si="44"/>
        <v>0</v>
      </c>
      <c r="Z47" s="10">
        <f t="shared" si="39"/>
        <v>0</v>
      </c>
      <c r="AA47" s="10" t="e">
        <f t="shared" si="32"/>
        <v>#DIV/0!</v>
      </c>
      <c r="AB47" s="10">
        <f t="shared" si="40"/>
        <v>0</v>
      </c>
      <c r="AC47" s="10"/>
      <c r="AE47" s="10">
        <f t="shared" si="33"/>
        <v>0</v>
      </c>
      <c r="AF47" s="11"/>
      <c r="AH47" s="6" t="e">
        <f t="shared" si="34"/>
        <v>#DIV/0!</v>
      </c>
      <c r="AI47" s="6" t="e">
        <f t="shared" si="35"/>
        <v>#DIV/0!</v>
      </c>
      <c r="AJ47" s="6" t="e">
        <f t="shared" si="36"/>
        <v>#DIV/0!</v>
      </c>
      <c r="AK47" s="5" t="e">
        <f t="shared" si="37"/>
        <v>#DIV/0!</v>
      </c>
      <c r="AL47" s="12">
        <f t="shared" si="38"/>
        <v>0</v>
      </c>
      <c r="AM47" s="12"/>
      <c r="AN47" s="34"/>
    </row>
    <row r="48" spans="1:40" x14ac:dyDescent="0.15">
      <c r="F48" s="6"/>
      <c r="G48" s="6"/>
      <c r="I48" s="10"/>
      <c r="N48" s="11"/>
      <c r="R48" s="2"/>
      <c r="S48" s="2"/>
      <c r="U48" s="2"/>
      <c r="Z48" s="10"/>
      <c r="AA48" s="10"/>
      <c r="AB48" s="10"/>
      <c r="AC48" s="10"/>
      <c r="AF48" s="11"/>
      <c r="AH48" s="6"/>
      <c r="AI48" s="6"/>
      <c r="AJ48" s="6"/>
      <c r="AK48" s="5"/>
      <c r="AL48" s="35"/>
      <c r="AM48" s="35"/>
    </row>
    <row r="49" spans="1:40" x14ac:dyDescent="0.15">
      <c r="A49" s="9" t="s">
        <v>147</v>
      </c>
      <c r="F49" s="6">
        <f>SUM(F31:F48)</f>
        <v>12285649.361705367</v>
      </c>
      <c r="G49" s="6">
        <f>+F49-F41</f>
        <v>12285649.361705367</v>
      </c>
      <c r="I49" s="10"/>
      <c r="N49" s="11"/>
      <c r="S49">
        <f t="shared" ref="S49:Z49" si="45">SUM(S37:S48)</f>
        <v>0</v>
      </c>
      <c r="T49">
        <f t="shared" si="45"/>
        <v>0</v>
      </c>
      <c r="U49">
        <f t="shared" si="45"/>
        <v>0</v>
      </c>
      <c r="V49">
        <f t="shared" si="45"/>
        <v>0</v>
      </c>
      <c r="W49" s="10">
        <f t="shared" si="45"/>
        <v>0</v>
      </c>
      <c r="X49" s="10">
        <f t="shared" si="45"/>
        <v>0</v>
      </c>
      <c r="Y49" s="10">
        <f t="shared" si="45"/>
        <v>0</v>
      </c>
      <c r="Z49" s="10">
        <f t="shared" si="45"/>
        <v>0</v>
      </c>
      <c r="AA49" s="10"/>
      <c r="AB49">
        <f t="shared" ref="AB49:AG49" si="46">SUM(AB37:AB48)</f>
        <v>0</v>
      </c>
      <c r="AC49">
        <f t="shared" si="46"/>
        <v>0</v>
      </c>
      <c r="AD49" s="10">
        <f t="shared" si="46"/>
        <v>0</v>
      </c>
      <c r="AE49" s="10">
        <f t="shared" si="46"/>
        <v>0</v>
      </c>
      <c r="AF49">
        <f t="shared" si="46"/>
        <v>0</v>
      </c>
      <c r="AG49">
        <f t="shared" si="46"/>
        <v>0</v>
      </c>
      <c r="AH49" s="6"/>
      <c r="AI49" s="6"/>
      <c r="AJ49" s="6"/>
      <c r="AK49" s="5"/>
      <c r="AL49" s="6">
        <f>SUM(AL37:AL48)</f>
        <v>0</v>
      </c>
      <c r="AM49" s="6">
        <f>SUM(AM37:AM48)</f>
        <v>0</v>
      </c>
    </row>
    <row r="50" spans="1:40" x14ac:dyDescent="0.15">
      <c r="A50" s="9"/>
      <c r="F50" s="6"/>
      <c r="G50" s="6"/>
      <c r="I50" s="10"/>
      <c r="N50" s="11"/>
      <c r="AN50" s="36"/>
    </row>
    <row r="51" spans="1:40" x14ac:dyDescent="0.15">
      <c r="A51" s="9" t="s">
        <v>148</v>
      </c>
      <c r="F51" s="6">
        <f>+F49/F28</f>
        <v>398.6382885938487</v>
      </c>
      <c r="G51" s="6">
        <f>+G49/F28</f>
        <v>398.6382885938487</v>
      </c>
      <c r="I51" s="10"/>
      <c r="N51" s="11"/>
      <c r="S51" s="2"/>
      <c r="U51" s="2"/>
      <c r="V51">
        <f t="shared" ref="V51:V64" si="47">SUM(S51:U51)</f>
        <v>0</v>
      </c>
      <c r="W51">
        <f t="shared" ref="W51:W73" si="48">+S51*$S$7</f>
        <v>0</v>
      </c>
      <c r="X51">
        <f t="shared" ref="X51:X73" si="49">+T51*$T$7</f>
        <v>0</v>
      </c>
      <c r="Y51">
        <f t="shared" ref="Y51:Y73" si="50">+U51*$U$7</f>
        <v>0</v>
      </c>
      <c r="Z51" s="10">
        <f t="shared" ref="Z51:Z64" si="51">SUM(W51:Y51)</f>
        <v>0</v>
      </c>
      <c r="AA51" s="10" t="e">
        <f t="shared" ref="AA51:AA73" si="52">+AE51/V51</f>
        <v>#DIV/0!</v>
      </c>
      <c r="AB51" s="10"/>
      <c r="AC51" s="10"/>
      <c r="AD51" s="10">
        <f>+Z51*$V$3</f>
        <v>0</v>
      </c>
      <c r="AE51" s="10">
        <f t="shared" ref="AE51:AE73" si="53">SUM(AB51:AD51)</f>
        <v>0</v>
      </c>
      <c r="AF51" s="11"/>
      <c r="AH51" s="6" t="e">
        <f>+AF51*$C$42/AE51</f>
        <v>#DIV/0!</v>
      </c>
      <c r="AI51" s="6" t="e">
        <f>+AH51+$AD$7</f>
        <v>#DIV/0!</v>
      </c>
      <c r="AJ51" s="6" t="e">
        <f>+$AD$3-AI51</f>
        <v>#DIV/0!</v>
      </c>
      <c r="AK51" s="5" t="e">
        <f>+(AJ51)/AD$3</f>
        <v>#DIV/0!</v>
      </c>
      <c r="AL51" s="12">
        <f t="shared" ref="AL51:AL73" si="54">+AF51*$C$42</f>
        <v>0</v>
      </c>
      <c r="AM51" s="12"/>
      <c r="AN51" s="36"/>
    </row>
    <row r="52" spans="1:40" x14ac:dyDescent="0.15">
      <c r="A52" s="9" t="s">
        <v>149</v>
      </c>
      <c r="B52" s="4">
        <v>0.15</v>
      </c>
      <c r="F52" s="6">
        <f>+C22*B52</f>
        <v>109.27997999999999</v>
      </c>
      <c r="G52" s="6">
        <f>+G51+G50</f>
        <v>398.6382885938487</v>
      </c>
      <c r="H52" t="s">
        <v>36</v>
      </c>
      <c r="I52" s="10">
        <f>SUM(I31:I44)</f>
        <v>0</v>
      </c>
      <c r="K52" s="10">
        <f>SUM(K30:K51)</f>
        <v>31183.757409705169</v>
      </c>
      <c r="L52" s="10">
        <f>SUM(L30:L51)</f>
        <v>520</v>
      </c>
      <c r="M52" s="10">
        <f>SUM(M31:M51)</f>
        <v>715.12678655792001</v>
      </c>
      <c r="N52" s="10">
        <f>SUM(N30:N51)</f>
        <v>31342.924196263091</v>
      </c>
      <c r="R52" s="2"/>
      <c r="S52" s="2"/>
      <c r="U52" s="2"/>
      <c r="V52">
        <f t="shared" si="47"/>
        <v>0</v>
      </c>
      <c r="W52">
        <f t="shared" si="48"/>
        <v>0</v>
      </c>
      <c r="X52">
        <f t="shared" si="49"/>
        <v>0</v>
      </c>
      <c r="Y52">
        <f t="shared" si="50"/>
        <v>0</v>
      </c>
      <c r="Z52" s="10">
        <f t="shared" si="51"/>
        <v>0</v>
      </c>
      <c r="AA52" s="10" t="e">
        <f t="shared" si="52"/>
        <v>#DIV/0!</v>
      </c>
      <c r="AB52" s="10">
        <f t="shared" ref="AB52:AB64" si="55">+Z52*$W$3</f>
        <v>0</v>
      </c>
      <c r="AC52" s="10"/>
      <c r="AD52" s="10"/>
      <c r="AE52" s="10">
        <f t="shared" si="53"/>
        <v>0</v>
      </c>
      <c r="AF52" s="11"/>
      <c r="AH52" s="6" t="e">
        <f t="shared" ref="AH52:AH73" si="56">+AF52*$C$42/AE52</f>
        <v>#DIV/0!</v>
      </c>
      <c r="AI52" s="6" t="e">
        <f>+AH52+$AB$7</f>
        <v>#DIV/0!</v>
      </c>
      <c r="AJ52" s="6" t="e">
        <f t="shared" ref="AJ52:AJ57" si="57">+$C$27-AI52</f>
        <v>#DIV/0!</v>
      </c>
      <c r="AK52" s="5" t="e">
        <f t="shared" ref="AK52:AK64" si="58">+(AJ52)/$C$27</f>
        <v>#DIV/0!</v>
      </c>
      <c r="AL52" s="12">
        <f t="shared" si="54"/>
        <v>0</v>
      </c>
      <c r="AM52" s="12"/>
      <c r="AN52" s="37"/>
    </row>
    <row r="53" spans="1:40" x14ac:dyDescent="0.15">
      <c r="A53" s="9" t="s">
        <v>150</v>
      </c>
      <c r="F53" s="6">
        <f>+N33-(F51+F52)</f>
        <v>15.965927669240614</v>
      </c>
      <c r="G53" s="6">
        <f>+F53*F28</f>
        <v>492054.56347543327</v>
      </c>
      <c r="I53" s="6"/>
      <c r="N53" s="11"/>
      <c r="S53" s="2"/>
      <c r="U53" s="2"/>
      <c r="V53">
        <f t="shared" si="47"/>
        <v>0</v>
      </c>
      <c r="W53">
        <f t="shared" si="48"/>
        <v>0</v>
      </c>
      <c r="X53">
        <f t="shared" si="49"/>
        <v>0</v>
      </c>
      <c r="Y53">
        <f t="shared" si="50"/>
        <v>0</v>
      </c>
      <c r="Z53" s="10">
        <f t="shared" si="51"/>
        <v>0</v>
      </c>
      <c r="AA53" s="10" t="e">
        <f t="shared" si="52"/>
        <v>#DIV/0!</v>
      </c>
      <c r="AB53" s="10">
        <f t="shared" si="55"/>
        <v>0</v>
      </c>
      <c r="AC53" s="10"/>
      <c r="AE53" s="10">
        <f t="shared" si="53"/>
        <v>0</v>
      </c>
      <c r="AF53" s="11"/>
      <c r="AH53" s="6" t="e">
        <f t="shared" si="56"/>
        <v>#DIV/0!</v>
      </c>
      <c r="AI53" s="6" t="e">
        <f>+AH53+$AB$7</f>
        <v>#DIV/0!</v>
      </c>
      <c r="AJ53" s="6" t="e">
        <f t="shared" si="57"/>
        <v>#DIV/0!</v>
      </c>
      <c r="AK53" s="5" t="e">
        <f t="shared" si="58"/>
        <v>#DIV/0!</v>
      </c>
      <c r="AL53" s="12">
        <f t="shared" si="54"/>
        <v>0</v>
      </c>
      <c r="AM53" s="12"/>
      <c r="AN53" s="29"/>
    </row>
    <row r="54" spans="1:40" x14ac:dyDescent="0.15">
      <c r="A54" s="9" t="s">
        <v>151</v>
      </c>
      <c r="F54" s="5">
        <f>+F53/C22</f>
        <v>2.1915168271316413E-2</v>
      </c>
      <c r="G54" s="6"/>
      <c r="N54" s="11"/>
      <c r="R54" s="2"/>
      <c r="S54" s="2"/>
      <c r="U54" s="2"/>
      <c r="V54">
        <f t="shared" si="47"/>
        <v>0</v>
      </c>
      <c r="W54">
        <f t="shared" si="48"/>
        <v>0</v>
      </c>
      <c r="X54">
        <f t="shared" si="49"/>
        <v>0</v>
      </c>
      <c r="Y54">
        <f t="shared" si="50"/>
        <v>0</v>
      </c>
      <c r="Z54" s="10">
        <f t="shared" si="51"/>
        <v>0</v>
      </c>
      <c r="AA54" s="10" t="e">
        <f t="shared" si="52"/>
        <v>#DIV/0!</v>
      </c>
      <c r="AB54" s="10">
        <f t="shared" si="55"/>
        <v>0</v>
      </c>
      <c r="AC54" s="10"/>
      <c r="AE54" s="10">
        <f t="shared" si="53"/>
        <v>0</v>
      </c>
      <c r="AF54" s="11"/>
      <c r="AH54" s="6" t="e">
        <f t="shared" si="56"/>
        <v>#DIV/0!</v>
      </c>
      <c r="AI54" s="6" t="e">
        <f>+AH54+$AB$7</f>
        <v>#DIV/0!</v>
      </c>
      <c r="AJ54" s="6" t="e">
        <f t="shared" si="57"/>
        <v>#DIV/0!</v>
      </c>
      <c r="AK54" s="5" t="e">
        <f t="shared" si="58"/>
        <v>#DIV/0!</v>
      </c>
      <c r="AL54" s="12">
        <f t="shared" si="54"/>
        <v>0</v>
      </c>
      <c r="AM54" s="12"/>
      <c r="AN54" s="37"/>
    </row>
    <row r="55" spans="1:40" x14ac:dyDescent="0.15">
      <c r="S55" s="2"/>
      <c r="U55" s="2"/>
      <c r="V55">
        <f t="shared" si="47"/>
        <v>0</v>
      </c>
      <c r="W55">
        <f t="shared" si="48"/>
        <v>0</v>
      </c>
      <c r="X55">
        <f t="shared" si="49"/>
        <v>0</v>
      </c>
      <c r="Y55">
        <f t="shared" si="50"/>
        <v>0</v>
      </c>
      <c r="Z55" s="10">
        <f t="shared" si="51"/>
        <v>0</v>
      </c>
      <c r="AA55" s="10" t="e">
        <f t="shared" si="52"/>
        <v>#DIV/0!</v>
      </c>
      <c r="AB55" s="10">
        <f t="shared" si="55"/>
        <v>0</v>
      </c>
      <c r="AC55" s="10"/>
      <c r="AE55" s="10">
        <f t="shared" si="53"/>
        <v>0</v>
      </c>
      <c r="AF55" s="11"/>
      <c r="AH55" s="6" t="e">
        <f t="shared" si="56"/>
        <v>#DIV/0!</v>
      </c>
      <c r="AI55" s="6" t="e">
        <f t="shared" ref="AI55:AI61" si="59">+AH55+$AB$7</f>
        <v>#DIV/0!</v>
      </c>
      <c r="AJ55" s="6" t="e">
        <f t="shared" si="57"/>
        <v>#DIV/0!</v>
      </c>
      <c r="AK55" s="5" t="e">
        <f t="shared" si="58"/>
        <v>#DIV/0!</v>
      </c>
      <c r="AL55" s="12">
        <f t="shared" si="54"/>
        <v>0</v>
      </c>
      <c r="AM55" s="12"/>
      <c r="AN55" s="38"/>
    </row>
    <row r="56" spans="1:40" x14ac:dyDescent="0.15">
      <c r="B56" s="9" t="s">
        <v>152</v>
      </c>
      <c r="H56" s="9" t="s">
        <v>153</v>
      </c>
      <c r="L56" s="9" t="s">
        <v>154</v>
      </c>
      <c r="R56" s="2"/>
      <c r="S56" s="2"/>
      <c r="U56" s="2"/>
      <c r="V56">
        <f t="shared" si="47"/>
        <v>0</v>
      </c>
      <c r="W56">
        <f t="shared" si="48"/>
        <v>0</v>
      </c>
      <c r="X56">
        <f t="shared" si="49"/>
        <v>0</v>
      </c>
      <c r="Y56">
        <f t="shared" si="50"/>
        <v>0</v>
      </c>
      <c r="Z56" s="10">
        <f t="shared" si="51"/>
        <v>0</v>
      </c>
      <c r="AA56" s="10" t="e">
        <f t="shared" si="52"/>
        <v>#DIV/0!</v>
      </c>
      <c r="AB56" s="10">
        <f t="shared" si="55"/>
        <v>0</v>
      </c>
      <c r="AC56" s="10"/>
      <c r="AD56" s="10"/>
      <c r="AE56" s="10">
        <f t="shared" si="53"/>
        <v>0</v>
      </c>
      <c r="AF56" s="11"/>
      <c r="AH56" s="6" t="e">
        <f t="shared" si="56"/>
        <v>#DIV/0!</v>
      </c>
      <c r="AI56" s="6" t="e">
        <f t="shared" si="59"/>
        <v>#DIV/0!</v>
      </c>
      <c r="AJ56" s="6" t="e">
        <f t="shared" si="57"/>
        <v>#DIV/0!</v>
      </c>
      <c r="AK56" s="5" t="e">
        <f t="shared" si="58"/>
        <v>#DIV/0!</v>
      </c>
      <c r="AL56" s="12">
        <f t="shared" si="54"/>
        <v>0</v>
      </c>
      <c r="AM56" s="12"/>
      <c r="AN56" s="27"/>
    </row>
    <row r="57" spans="1:40" x14ac:dyDescent="0.15">
      <c r="S57" s="2"/>
      <c r="U57" s="2"/>
      <c r="V57">
        <f t="shared" si="47"/>
        <v>0</v>
      </c>
      <c r="W57">
        <f t="shared" si="48"/>
        <v>0</v>
      </c>
      <c r="X57">
        <f t="shared" si="49"/>
        <v>0</v>
      </c>
      <c r="Y57">
        <f t="shared" si="50"/>
        <v>0</v>
      </c>
      <c r="Z57" s="10">
        <f t="shared" si="51"/>
        <v>0</v>
      </c>
      <c r="AA57" s="10" t="e">
        <f t="shared" si="52"/>
        <v>#DIV/0!</v>
      </c>
      <c r="AB57" s="10">
        <f t="shared" si="55"/>
        <v>0</v>
      </c>
      <c r="AC57" s="10"/>
      <c r="AE57" s="10">
        <f t="shared" si="53"/>
        <v>0</v>
      </c>
      <c r="AF57" s="11"/>
      <c r="AH57" s="6" t="e">
        <f t="shared" si="56"/>
        <v>#DIV/0!</v>
      </c>
      <c r="AI57" s="6" t="e">
        <f t="shared" si="59"/>
        <v>#DIV/0!</v>
      </c>
      <c r="AJ57" s="6" t="e">
        <f t="shared" si="57"/>
        <v>#DIV/0!</v>
      </c>
      <c r="AK57" s="5" t="e">
        <f t="shared" si="58"/>
        <v>#DIV/0!</v>
      </c>
      <c r="AL57" s="12">
        <f t="shared" si="54"/>
        <v>0</v>
      </c>
      <c r="AM57" s="12"/>
    </row>
    <row r="58" spans="1:40" x14ac:dyDescent="0.15">
      <c r="B58" s="39">
        <v>39493</v>
      </c>
      <c r="C58" s="2"/>
      <c r="D58" s="2"/>
      <c r="E58" s="2"/>
      <c r="F58" s="2"/>
      <c r="J58" s="2" t="s">
        <v>155</v>
      </c>
      <c r="L58" s="9" t="s">
        <v>156</v>
      </c>
      <c r="R58" s="2"/>
      <c r="S58" s="2"/>
      <c r="U58" s="2"/>
      <c r="V58">
        <f t="shared" si="47"/>
        <v>0</v>
      </c>
      <c r="W58">
        <f t="shared" si="48"/>
        <v>0</v>
      </c>
      <c r="X58">
        <f t="shared" si="49"/>
        <v>0</v>
      </c>
      <c r="Y58">
        <f t="shared" si="50"/>
        <v>0</v>
      </c>
      <c r="Z58" s="10">
        <f t="shared" si="51"/>
        <v>0</v>
      </c>
      <c r="AA58" s="10" t="e">
        <f t="shared" si="52"/>
        <v>#DIV/0!</v>
      </c>
      <c r="AB58" s="10"/>
      <c r="AC58" s="10"/>
      <c r="AD58" s="10">
        <f>+Z58*$V$3</f>
        <v>0</v>
      </c>
      <c r="AE58" s="10">
        <f t="shared" si="53"/>
        <v>0</v>
      </c>
      <c r="AF58" s="11"/>
      <c r="AH58" s="6" t="e">
        <f t="shared" si="56"/>
        <v>#DIV/0!</v>
      </c>
      <c r="AI58" s="6" t="e">
        <f>+AH58+$AD$7</f>
        <v>#DIV/0!</v>
      </c>
      <c r="AJ58" s="6" t="e">
        <f>+$AD$3-AI58</f>
        <v>#DIV/0!</v>
      </c>
      <c r="AK58" s="5" t="e">
        <f>+(AJ58)/AD$3</f>
        <v>#DIV/0!</v>
      </c>
      <c r="AL58" s="12">
        <f t="shared" si="54"/>
        <v>0</v>
      </c>
      <c r="AM58" s="12"/>
    </row>
    <row r="59" spans="1:40" x14ac:dyDescent="0.15">
      <c r="B59" s="39"/>
      <c r="C59" s="2"/>
      <c r="D59" s="2"/>
      <c r="E59" s="2"/>
      <c r="F59" s="2"/>
      <c r="S59" s="2"/>
      <c r="U59" s="2"/>
      <c r="V59">
        <f t="shared" si="47"/>
        <v>0</v>
      </c>
      <c r="W59">
        <f t="shared" si="48"/>
        <v>0</v>
      </c>
      <c r="X59">
        <f t="shared" si="49"/>
        <v>0</v>
      </c>
      <c r="Y59">
        <f t="shared" si="50"/>
        <v>0</v>
      </c>
      <c r="Z59" s="10">
        <f t="shared" si="51"/>
        <v>0</v>
      </c>
      <c r="AA59" s="10" t="e">
        <f t="shared" si="52"/>
        <v>#DIV/0!</v>
      </c>
      <c r="AB59" s="10">
        <f t="shared" si="55"/>
        <v>0</v>
      </c>
      <c r="AC59" s="10"/>
      <c r="AE59" s="10">
        <f t="shared" si="53"/>
        <v>0</v>
      </c>
      <c r="AF59" s="11"/>
      <c r="AH59" s="6" t="e">
        <f t="shared" si="56"/>
        <v>#DIV/0!</v>
      </c>
      <c r="AI59" s="6" t="e">
        <f t="shared" si="59"/>
        <v>#DIV/0!</v>
      </c>
      <c r="AJ59" s="6" t="e">
        <f>+$C$27-AI59</f>
        <v>#DIV/0!</v>
      </c>
      <c r="AK59" s="5" t="e">
        <f t="shared" si="58"/>
        <v>#DIV/0!</v>
      </c>
      <c r="AL59" s="12">
        <f t="shared" si="54"/>
        <v>0</v>
      </c>
      <c r="AM59" s="12"/>
      <c r="AN59" s="40"/>
    </row>
    <row r="60" spans="1:40" x14ac:dyDescent="0.15">
      <c r="A60" s="10">
        <v>2006</v>
      </c>
      <c r="B60" s="2" t="s">
        <v>164</v>
      </c>
      <c r="C60" s="2" t="s">
        <v>165</v>
      </c>
      <c r="D60" s="2" t="s">
        <v>166</v>
      </c>
      <c r="E60" s="2" t="s">
        <v>167</v>
      </c>
      <c r="F60" s="2" t="s">
        <v>62</v>
      </c>
      <c r="H60" t="s">
        <v>125</v>
      </c>
      <c r="I60" s="6">
        <f>34.14/(1-M62)</f>
        <v>41.331719128329297</v>
      </c>
      <c r="J60">
        <v>41</v>
      </c>
      <c r="L60" t="s">
        <v>122</v>
      </c>
      <c r="M60">
        <v>24.4</v>
      </c>
      <c r="R60" s="2"/>
      <c r="S60" s="2"/>
      <c r="U60" s="2"/>
      <c r="V60">
        <f t="shared" si="47"/>
        <v>0</v>
      </c>
      <c r="W60">
        <f t="shared" si="48"/>
        <v>0</v>
      </c>
      <c r="X60">
        <f t="shared" si="49"/>
        <v>0</v>
      </c>
      <c r="Y60">
        <f t="shared" si="50"/>
        <v>0</v>
      </c>
      <c r="Z60" s="10">
        <f t="shared" si="51"/>
        <v>0</v>
      </c>
      <c r="AA60" s="10" t="e">
        <f t="shared" si="52"/>
        <v>#DIV/0!</v>
      </c>
      <c r="AB60" s="10">
        <f t="shared" si="55"/>
        <v>0</v>
      </c>
      <c r="AC60" s="10"/>
      <c r="AE60" s="10">
        <f t="shared" si="53"/>
        <v>0</v>
      </c>
      <c r="AF60" s="11"/>
      <c r="AH60" s="6" t="e">
        <f t="shared" si="56"/>
        <v>#DIV/0!</v>
      </c>
      <c r="AI60" s="6" t="e">
        <f t="shared" si="59"/>
        <v>#DIV/0!</v>
      </c>
      <c r="AJ60" s="6" t="e">
        <f>+$C$27-AI60</f>
        <v>#DIV/0!</v>
      </c>
      <c r="AK60" s="5" t="e">
        <f t="shared" si="58"/>
        <v>#DIV/0!</v>
      </c>
      <c r="AL60" s="12">
        <f t="shared" si="54"/>
        <v>0</v>
      </c>
      <c r="AM60" s="12"/>
      <c r="AN60" s="41"/>
    </row>
    <row r="61" spans="1:40" x14ac:dyDescent="0.15">
      <c r="H61" t="s">
        <v>168</v>
      </c>
      <c r="I61" s="42">
        <f>+(748/((2.39+23.61*M61)*M60/(M60+7.08+15.75*M61))+(6773/M77))/(1-M62)</f>
        <v>158.7637422986293</v>
      </c>
      <c r="J61">
        <v>159</v>
      </c>
      <c r="L61" t="s">
        <v>169</v>
      </c>
      <c r="M61">
        <v>0.251</v>
      </c>
      <c r="S61" s="2"/>
      <c r="U61" s="2"/>
      <c r="V61">
        <f t="shared" si="47"/>
        <v>0</v>
      </c>
      <c r="W61">
        <f t="shared" si="48"/>
        <v>0</v>
      </c>
      <c r="X61">
        <f t="shared" si="49"/>
        <v>0</v>
      </c>
      <c r="Y61">
        <f t="shared" si="50"/>
        <v>0</v>
      </c>
      <c r="Z61" s="10">
        <f t="shared" si="51"/>
        <v>0</v>
      </c>
      <c r="AA61" s="10" t="e">
        <f t="shared" si="52"/>
        <v>#DIV/0!</v>
      </c>
      <c r="AB61" s="10">
        <f t="shared" si="55"/>
        <v>0</v>
      </c>
      <c r="AC61" s="10"/>
      <c r="AE61" s="10">
        <f t="shared" si="53"/>
        <v>0</v>
      </c>
      <c r="AF61" s="11"/>
      <c r="AH61" s="30" t="e">
        <f>+AF61*$C$43/AE61</f>
        <v>#DIV/0!</v>
      </c>
      <c r="AI61" s="6" t="e">
        <f t="shared" si="59"/>
        <v>#DIV/0!</v>
      </c>
      <c r="AJ61" s="6" t="e">
        <f>+$C$27-AI61</f>
        <v>#DIV/0!</v>
      </c>
      <c r="AK61" s="5" t="e">
        <f t="shared" si="58"/>
        <v>#DIV/0!</v>
      </c>
      <c r="AL61" s="12">
        <f t="shared" si="54"/>
        <v>0</v>
      </c>
      <c r="AM61" s="12"/>
      <c r="AN61" s="43"/>
    </row>
    <row r="62" spans="1:40" x14ac:dyDescent="0.15">
      <c r="A62" s="6">
        <v>784</v>
      </c>
      <c r="B62">
        <v>1.1377999999999999</v>
      </c>
      <c r="C62" s="6">
        <f>+B62*A62</f>
        <v>892.03519999999992</v>
      </c>
      <c r="D62" s="6">
        <v>341</v>
      </c>
      <c r="E62" s="5">
        <v>0.12</v>
      </c>
      <c r="F62" s="6">
        <f>+C62-D62</f>
        <v>551.03519999999992</v>
      </c>
      <c r="H62" t="s">
        <v>170</v>
      </c>
      <c r="I62" s="42">
        <f>+(748*(6.27+(16.72+155.4*M62)/M64)/(11.94+111*M61+0.096*M64)+(6773/M76))/(1-M62)</f>
        <v>204.42478471639069</v>
      </c>
      <c r="J62">
        <v>223</v>
      </c>
      <c r="L62" t="s">
        <v>171</v>
      </c>
      <c r="M62" s="5">
        <v>0.17399999999999999</v>
      </c>
      <c r="R62" s="2"/>
      <c r="S62" s="2"/>
      <c r="U62" s="2"/>
      <c r="V62">
        <f t="shared" si="47"/>
        <v>0</v>
      </c>
      <c r="W62">
        <f t="shared" si="48"/>
        <v>0</v>
      </c>
      <c r="X62">
        <f t="shared" si="49"/>
        <v>0</v>
      </c>
      <c r="Y62">
        <f t="shared" si="50"/>
        <v>0</v>
      </c>
      <c r="Z62" s="10">
        <f t="shared" si="51"/>
        <v>0</v>
      </c>
      <c r="AA62" s="10" t="e">
        <f t="shared" si="52"/>
        <v>#DIV/0!</v>
      </c>
      <c r="AB62" s="10">
        <f t="shared" si="55"/>
        <v>0</v>
      </c>
      <c r="AC62" s="10"/>
      <c r="AE62" s="10">
        <f t="shared" si="53"/>
        <v>0</v>
      </c>
      <c r="AF62" s="11"/>
      <c r="AH62" s="6" t="e">
        <f t="shared" si="56"/>
        <v>#DIV/0!</v>
      </c>
      <c r="AI62" s="6" t="e">
        <f>+AH62+$AB$7</f>
        <v>#DIV/0!</v>
      </c>
      <c r="AJ62" s="6" t="e">
        <f>+$C$27-AI62</f>
        <v>#DIV/0!</v>
      </c>
      <c r="AK62" s="5" t="e">
        <f t="shared" si="58"/>
        <v>#DIV/0!</v>
      </c>
      <c r="AL62" s="44">
        <f t="shared" si="54"/>
        <v>0</v>
      </c>
      <c r="AM62" s="12"/>
      <c r="AN62" s="31"/>
    </row>
    <row r="63" spans="1:40" x14ac:dyDescent="0.15">
      <c r="A63" s="6"/>
      <c r="C63" s="6"/>
      <c r="D63" s="6"/>
      <c r="E63" s="5"/>
      <c r="F63" s="6"/>
      <c r="I63" s="42"/>
      <c r="M63" s="5"/>
      <c r="R63" s="2"/>
      <c r="S63" s="2"/>
      <c r="U63" s="2"/>
      <c r="V63">
        <f t="shared" si="47"/>
        <v>0</v>
      </c>
      <c r="X63">
        <f t="shared" si="49"/>
        <v>0</v>
      </c>
      <c r="Z63" s="10">
        <f t="shared" si="51"/>
        <v>0</v>
      </c>
      <c r="AA63" s="10" t="e">
        <f t="shared" si="52"/>
        <v>#DIV/0!</v>
      </c>
      <c r="AB63" s="10"/>
      <c r="AC63" s="10"/>
      <c r="AD63" s="10">
        <f>+Z63*$V$3</f>
        <v>0</v>
      </c>
      <c r="AE63" s="10">
        <f t="shared" si="53"/>
        <v>0</v>
      </c>
      <c r="AF63" s="11"/>
      <c r="AH63" s="6" t="e">
        <f t="shared" si="56"/>
        <v>#DIV/0!</v>
      </c>
      <c r="AI63" s="6" t="e">
        <f>+AH63+$AD$7</f>
        <v>#DIV/0!</v>
      </c>
      <c r="AJ63" s="6" t="e">
        <f>+$AD$3-AI63</f>
        <v>#DIV/0!</v>
      </c>
      <c r="AK63" s="5" t="e">
        <f>+(AJ63)/AD$3</f>
        <v>#DIV/0!</v>
      </c>
      <c r="AL63" s="44">
        <f t="shared" si="54"/>
        <v>0</v>
      </c>
      <c r="AM63" s="12"/>
      <c r="AN63" s="31"/>
    </row>
    <row r="64" spans="1:40" x14ac:dyDescent="0.15">
      <c r="A64" s="6">
        <v>514</v>
      </c>
      <c r="B64">
        <v>0.96740000000000004</v>
      </c>
      <c r="C64" s="6">
        <f t="shared" ref="C64:C69" si="60">+B64*A64</f>
        <v>497.24360000000001</v>
      </c>
      <c r="D64" s="6">
        <v>366</v>
      </c>
      <c r="E64" s="5">
        <v>0.12</v>
      </c>
      <c r="F64" s="6">
        <f t="shared" ref="F64:F69" si="61">+C64-D64</f>
        <v>131.24360000000001</v>
      </c>
      <c r="H64" t="s">
        <v>130</v>
      </c>
      <c r="I64" s="45">
        <f>+(748/((4586+45214*M61)*M60/(11721+1586*M60+12057*M61+M72*M60))+(6773/M77))/(1-M62)</f>
        <v>176.25790607443531</v>
      </c>
      <c r="J64">
        <v>177</v>
      </c>
      <c r="L64" t="s">
        <v>172</v>
      </c>
      <c r="M64">
        <v>14.6</v>
      </c>
      <c r="S64" s="2"/>
      <c r="U64" s="2"/>
      <c r="V64">
        <f t="shared" si="47"/>
        <v>0</v>
      </c>
      <c r="W64">
        <f t="shared" si="48"/>
        <v>0</v>
      </c>
      <c r="X64">
        <f t="shared" si="49"/>
        <v>0</v>
      </c>
      <c r="Y64">
        <f t="shared" si="50"/>
        <v>0</v>
      </c>
      <c r="Z64" s="10">
        <f t="shared" si="51"/>
        <v>0</v>
      </c>
      <c r="AA64" s="10" t="e">
        <f t="shared" si="52"/>
        <v>#DIV/0!</v>
      </c>
      <c r="AB64" s="10">
        <f t="shared" si="55"/>
        <v>0</v>
      </c>
      <c r="AC64" s="10"/>
      <c r="AE64" s="10">
        <f t="shared" si="53"/>
        <v>0</v>
      </c>
      <c r="AF64" s="11"/>
      <c r="AH64" s="6" t="e">
        <f t="shared" si="56"/>
        <v>#DIV/0!</v>
      </c>
      <c r="AI64" s="6" t="e">
        <f>+AH64+$AB$7</f>
        <v>#DIV/0!</v>
      </c>
      <c r="AJ64" s="6" t="e">
        <f>+$C$27-AI64</f>
        <v>#DIV/0!</v>
      </c>
      <c r="AK64" s="5" t="e">
        <f t="shared" si="58"/>
        <v>#DIV/0!</v>
      </c>
      <c r="AL64" s="44">
        <f t="shared" si="54"/>
        <v>0</v>
      </c>
      <c r="AM64" s="12"/>
      <c r="AN64" s="46"/>
    </row>
    <row r="65" spans="1:40" x14ac:dyDescent="0.15">
      <c r="A65" s="6">
        <v>1141</v>
      </c>
      <c r="B65">
        <v>1</v>
      </c>
      <c r="C65" s="6">
        <f t="shared" si="60"/>
        <v>1141</v>
      </c>
      <c r="D65" s="6">
        <v>411</v>
      </c>
      <c r="E65" s="5">
        <v>0.12</v>
      </c>
      <c r="F65" s="6">
        <f t="shared" si="61"/>
        <v>730</v>
      </c>
      <c r="H65" t="s">
        <v>131</v>
      </c>
      <c r="I65" s="47">
        <f>+((3381*(0.55+27*M61/M67)/(M68*134.4))+(6773/M77))/(1-M69)</f>
        <v>101.06669611199152</v>
      </c>
      <c r="J65">
        <v>102</v>
      </c>
      <c r="R65" s="2"/>
      <c r="S65" s="2"/>
      <c r="U65" s="2"/>
      <c r="V65">
        <f t="shared" ref="V65:V73" si="62">SUM(S65:U65)</f>
        <v>0</v>
      </c>
      <c r="W65">
        <f t="shared" si="48"/>
        <v>0</v>
      </c>
      <c r="X65">
        <f t="shared" si="49"/>
        <v>0</v>
      </c>
      <c r="Y65">
        <f t="shared" si="50"/>
        <v>0</v>
      </c>
      <c r="Z65" s="10">
        <f t="shared" ref="Z65:Z73" si="63">SUM(W65:Y65)</f>
        <v>0</v>
      </c>
      <c r="AA65" s="10" t="e">
        <f t="shared" si="52"/>
        <v>#DIV/0!</v>
      </c>
      <c r="AB65" s="10"/>
      <c r="AC65" s="10"/>
      <c r="AD65" s="10">
        <f>+Z65*$V$3</f>
        <v>0</v>
      </c>
      <c r="AE65" s="10">
        <f t="shared" si="53"/>
        <v>0</v>
      </c>
      <c r="AF65" s="11"/>
      <c r="AH65" s="6" t="e">
        <f t="shared" si="56"/>
        <v>#DIV/0!</v>
      </c>
      <c r="AI65" s="6" t="e">
        <f>+AH65+$AD$7</f>
        <v>#DIV/0!</v>
      </c>
      <c r="AJ65" s="6" t="e">
        <f>+$AD$3-AI65</f>
        <v>#DIV/0!</v>
      </c>
      <c r="AK65" s="5" t="e">
        <f>+(AJ65)/AD$3</f>
        <v>#DIV/0!</v>
      </c>
      <c r="AL65" s="44">
        <f t="shared" si="54"/>
        <v>0</v>
      </c>
      <c r="AM65" s="12"/>
      <c r="AN65" s="6"/>
    </row>
    <row r="66" spans="1:40" x14ac:dyDescent="0.15">
      <c r="A66" s="6">
        <v>775</v>
      </c>
      <c r="B66">
        <v>1</v>
      </c>
      <c r="C66" s="6">
        <f t="shared" si="60"/>
        <v>775</v>
      </c>
      <c r="D66" s="6">
        <v>68</v>
      </c>
      <c r="E66" s="5">
        <v>0.1</v>
      </c>
      <c r="F66" s="6">
        <f t="shared" si="61"/>
        <v>707</v>
      </c>
      <c r="H66" t="s">
        <v>132</v>
      </c>
      <c r="I66" s="48">
        <f>+((2456*(0.66+40.5*M68/M70)/(M68*89.6))+(6773/M77))/(1-M69)</f>
        <v>179.94376784168887</v>
      </c>
      <c r="J66">
        <v>180</v>
      </c>
      <c r="L66" s="9" t="s">
        <v>173</v>
      </c>
      <c r="S66" s="2"/>
      <c r="V66">
        <f t="shared" si="62"/>
        <v>0</v>
      </c>
      <c r="W66">
        <f t="shared" si="48"/>
        <v>0</v>
      </c>
      <c r="X66">
        <f t="shared" si="49"/>
        <v>0</v>
      </c>
      <c r="Y66">
        <f t="shared" si="50"/>
        <v>0</v>
      </c>
      <c r="Z66" s="10">
        <f t="shared" si="63"/>
        <v>0</v>
      </c>
      <c r="AA66" s="10" t="e">
        <f t="shared" si="52"/>
        <v>#DIV/0!</v>
      </c>
      <c r="AB66" s="10">
        <f>+Z66*$W$3</f>
        <v>0</v>
      </c>
      <c r="AE66" s="10">
        <f t="shared" si="53"/>
        <v>0</v>
      </c>
      <c r="AF66" s="11"/>
      <c r="AH66" s="6" t="e">
        <f t="shared" si="56"/>
        <v>#DIV/0!</v>
      </c>
      <c r="AI66" s="6" t="e">
        <f t="shared" ref="AI66:AI71" si="64">+AH66+$AB$7</f>
        <v>#DIV/0!</v>
      </c>
      <c r="AJ66" s="6" t="e">
        <f>+$C$27-AI66</f>
        <v>#DIV/0!</v>
      </c>
      <c r="AK66" s="5" t="e">
        <f>+(AJ66)/$C$27</f>
        <v>#DIV/0!</v>
      </c>
      <c r="AL66" s="44">
        <f t="shared" si="54"/>
        <v>0</v>
      </c>
      <c r="AM66" s="12"/>
      <c r="AN66" s="19"/>
    </row>
    <row r="67" spans="1:40" x14ac:dyDescent="0.15">
      <c r="A67" s="6">
        <v>1027</v>
      </c>
      <c r="B67">
        <v>1</v>
      </c>
      <c r="C67" s="6">
        <f t="shared" si="60"/>
        <v>1027</v>
      </c>
      <c r="D67" s="6">
        <v>68</v>
      </c>
      <c r="E67" s="5">
        <v>0.1</v>
      </c>
      <c r="F67" s="6">
        <f t="shared" si="61"/>
        <v>959</v>
      </c>
      <c r="H67" t="s">
        <v>133</v>
      </c>
      <c r="I67" s="15">
        <v>330</v>
      </c>
      <c r="J67">
        <v>330</v>
      </c>
      <c r="L67" t="s">
        <v>122</v>
      </c>
      <c r="M67">
        <v>24.4</v>
      </c>
      <c r="R67" s="2"/>
      <c r="S67" s="2"/>
      <c r="V67">
        <f t="shared" si="62"/>
        <v>0</v>
      </c>
      <c r="W67">
        <f t="shared" si="48"/>
        <v>0</v>
      </c>
      <c r="X67">
        <f t="shared" si="49"/>
        <v>0</v>
      </c>
      <c r="Y67">
        <f t="shared" si="50"/>
        <v>0</v>
      </c>
      <c r="Z67" s="10">
        <f t="shared" si="63"/>
        <v>0</v>
      </c>
      <c r="AA67" s="10" t="e">
        <f t="shared" si="52"/>
        <v>#DIV/0!</v>
      </c>
      <c r="AB67" s="10"/>
      <c r="AD67" s="10">
        <f>+Z67*$V$3</f>
        <v>0</v>
      </c>
      <c r="AE67" s="10">
        <f t="shared" si="53"/>
        <v>0</v>
      </c>
      <c r="AF67" s="11"/>
      <c r="AH67" s="6" t="e">
        <f t="shared" si="56"/>
        <v>#DIV/0!</v>
      </c>
      <c r="AI67" s="6" t="e">
        <f>+AH67+$AD$7</f>
        <v>#DIV/0!</v>
      </c>
      <c r="AJ67" s="6" t="e">
        <f>+$AD$3-AI67</f>
        <v>#DIV/0!</v>
      </c>
      <c r="AK67" s="5" t="e">
        <f>+(AJ67)/AD$3</f>
        <v>#DIV/0!</v>
      </c>
      <c r="AL67" s="44">
        <f t="shared" si="54"/>
        <v>0</v>
      </c>
      <c r="AM67" s="12"/>
    </row>
    <row r="68" spans="1:40" x14ac:dyDescent="0.15">
      <c r="A68" s="6">
        <v>200</v>
      </c>
      <c r="B68">
        <v>1</v>
      </c>
      <c r="C68" s="6">
        <f t="shared" si="60"/>
        <v>200</v>
      </c>
      <c r="D68" s="6"/>
      <c r="E68" s="5">
        <v>0.1</v>
      </c>
      <c r="F68" s="6">
        <f t="shared" si="61"/>
        <v>200</v>
      </c>
      <c r="H68" t="s">
        <v>174</v>
      </c>
      <c r="I68" s="49">
        <f>+( M73*63.79/6)/(1-M69)</f>
        <v>25.742534301856331</v>
      </c>
      <c r="J68">
        <v>26</v>
      </c>
      <c r="L68" t="s">
        <v>169</v>
      </c>
      <c r="M68">
        <v>0.251</v>
      </c>
      <c r="S68" s="2"/>
      <c r="V68">
        <f t="shared" si="62"/>
        <v>0</v>
      </c>
      <c r="W68">
        <f t="shared" si="48"/>
        <v>0</v>
      </c>
      <c r="X68">
        <f t="shared" si="49"/>
        <v>0</v>
      </c>
      <c r="Y68">
        <f t="shared" si="50"/>
        <v>0</v>
      </c>
      <c r="Z68" s="10">
        <f t="shared" si="63"/>
        <v>0</v>
      </c>
      <c r="AA68" s="10" t="e">
        <f t="shared" si="52"/>
        <v>#DIV/0!</v>
      </c>
      <c r="AD68" s="10">
        <f>+Z68*$V$3</f>
        <v>0</v>
      </c>
      <c r="AE68" s="10">
        <f t="shared" si="53"/>
        <v>0</v>
      </c>
      <c r="AH68" s="6" t="e">
        <f t="shared" si="56"/>
        <v>#DIV/0!</v>
      </c>
      <c r="AI68" s="6" t="e">
        <f>+AH68+$AD$7</f>
        <v>#DIV/0!</v>
      </c>
      <c r="AJ68" s="6" t="e">
        <f>+$AD$3-AI68</f>
        <v>#DIV/0!</v>
      </c>
      <c r="AK68" s="5" t="e">
        <f>+(AJ68)/AD$3</f>
        <v>#DIV/0!</v>
      </c>
      <c r="AL68" s="44">
        <f t="shared" si="54"/>
        <v>0</v>
      </c>
      <c r="AM68" s="12"/>
      <c r="AN68" s="50"/>
    </row>
    <row r="69" spans="1:40" x14ac:dyDescent="0.15">
      <c r="A69" s="6">
        <v>230</v>
      </c>
      <c r="B69">
        <v>1</v>
      </c>
      <c r="C69" s="6">
        <f t="shared" si="60"/>
        <v>230</v>
      </c>
      <c r="D69" s="6"/>
      <c r="E69" s="5">
        <v>0.1</v>
      </c>
      <c r="F69" s="6">
        <f t="shared" si="61"/>
        <v>230</v>
      </c>
      <c r="H69" t="s">
        <v>175</v>
      </c>
      <c r="I69" s="48">
        <f>+((M74/7.28+10)*250/235+22.17)/(1-M69)</f>
        <v>66.256498382870021</v>
      </c>
      <c r="J69">
        <v>66</v>
      </c>
      <c r="L69" t="s">
        <v>171</v>
      </c>
      <c r="M69" s="5">
        <v>0.17399999999999999</v>
      </c>
      <c r="R69" s="2"/>
      <c r="S69" s="2"/>
      <c r="V69">
        <f t="shared" si="62"/>
        <v>0</v>
      </c>
      <c r="W69">
        <f t="shared" si="48"/>
        <v>0</v>
      </c>
      <c r="X69">
        <f t="shared" si="49"/>
        <v>0</v>
      </c>
      <c r="Y69">
        <f t="shared" si="50"/>
        <v>0</v>
      </c>
      <c r="Z69" s="10">
        <f t="shared" si="63"/>
        <v>0</v>
      </c>
      <c r="AA69" s="10" t="e">
        <f t="shared" si="52"/>
        <v>#DIV/0!</v>
      </c>
      <c r="AB69" s="10">
        <f>+Z69*$W$3</f>
        <v>0</v>
      </c>
      <c r="AE69" s="10">
        <f t="shared" si="53"/>
        <v>0</v>
      </c>
      <c r="AH69" s="6" t="e">
        <f t="shared" si="56"/>
        <v>#DIV/0!</v>
      </c>
      <c r="AI69" s="6" t="e">
        <f t="shared" si="64"/>
        <v>#DIV/0!</v>
      </c>
      <c r="AJ69" s="6" t="e">
        <f>+$C$27-AI69</f>
        <v>#DIV/0!</v>
      </c>
      <c r="AK69" s="5" t="e">
        <f>+(AJ69)/$C$27</f>
        <v>#DIV/0!</v>
      </c>
      <c r="AL69" s="44">
        <f t="shared" si="54"/>
        <v>0</v>
      </c>
      <c r="AM69" s="12"/>
      <c r="AN69" s="51"/>
    </row>
    <row r="70" spans="1:40" x14ac:dyDescent="0.15">
      <c r="H70" t="s">
        <v>176</v>
      </c>
      <c r="I70" s="48">
        <f>+(M75*979+11237)/M76</f>
        <v>23.716545454545454</v>
      </c>
      <c r="J70">
        <v>24</v>
      </c>
      <c r="L70" t="s">
        <v>172</v>
      </c>
      <c r="M70">
        <v>14.6</v>
      </c>
      <c r="S70" s="2"/>
      <c r="V70">
        <f t="shared" si="62"/>
        <v>0</v>
      </c>
      <c r="W70">
        <f t="shared" si="48"/>
        <v>0</v>
      </c>
      <c r="X70">
        <f t="shared" si="49"/>
        <v>0</v>
      </c>
      <c r="Y70">
        <f t="shared" si="50"/>
        <v>0</v>
      </c>
      <c r="Z70" s="10">
        <f t="shared" si="63"/>
        <v>0</v>
      </c>
      <c r="AA70" s="10" t="e">
        <f t="shared" si="52"/>
        <v>#DIV/0!</v>
      </c>
      <c r="AB70" s="10">
        <f>+Z70*$W$3</f>
        <v>0</v>
      </c>
      <c r="AE70" s="10">
        <f t="shared" si="53"/>
        <v>0</v>
      </c>
      <c r="AH70" s="6" t="e">
        <f t="shared" si="56"/>
        <v>#DIV/0!</v>
      </c>
      <c r="AI70" s="6" t="e">
        <f t="shared" si="64"/>
        <v>#DIV/0!</v>
      </c>
      <c r="AJ70" s="6" t="e">
        <f>+$C$27-AI70</f>
        <v>#DIV/0!</v>
      </c>
      <c r="AK70" s="5" t="e">
        <f>+(AJ70)/$C$27</f>
        <v>#DIV/0!</v>
      </c>
      <c r="AL70" s="44">
        <f t="shared" si="54"/>
        <v>0</v>
      </c>
      <c r="AM70" s="12"/>
      <c r="AN70" s="51"/>
    </row>
    <row r="71" spans="1:40" x14ac:dyDescent="0.15">
      <c r="L71" t="s">
        <v>177</v>
      </c>
      <c r="M71">
        <v>8000</v>
      </c>
      <c r="N71" t="s">
        <v>178</v>
      </c>
      <c r="R71" s="2"/>
      <c r="V71">
        <f t="shared" si="62"/>
        <v>0</v>
      </c>
      <c r="W71">
        <f t="shared" si="48"/>
        <v>0</v>
      </c>
      <c r="X71">
        <f t="shared" si="49"/>
        <v>0</v>
      </c>
      <c r="Y71">
        <f t="shared" si="50"/>
        <v>0</v>
      </c>
      <c r="Z71" s="10">
        <f t="shared" si="63"/>
        <v>0</v>
      </c>
      <c r="AA71" s="10" t="e">
        <f t="shared" si="52"/>
        <v>#DIV/0!</v>
      </c>
      <c r="AB71" s="10">
        <f>+Z71*$W$3</f>
        <v>0</v>
      </c>
      <c r="AE71" s="10">
        <f t="shared" si="53"/>
        <v>0</v>
      </c>
      <c r="AH71" s="6" t="e">
        <f t="shared" si="56"/>
        <v>#DIV/0!</v>
      </c>
      <c r="AI71" s="6" t="e">
        <f t="shared" si="64"/>
        <v>#DIV/0!</v>
      </c>
      <c r="AJ71" s="6" t="e">
        <f>+$C$27-AI71</f>
        <v>#DIV/0!</v>
      </c>
      <c r="AK71" s="5" t="e">
        <f>+(AJ71)/$C$27</f>
        <v>#DIV/0!</v>
      </c>
      <c r="AL71" s="44">
        <f t="shared" si="54"/>
        <v>0</v>
      </c>
      <c r="AM71" s="12"/>
      <c r="AN71" s="52"/>
    </row>
    <row r="72" spans="1:40" x14ac:dyDescent="0.15">
      <c r="L72" t="s">
        <v>179</v>
      </c>
      <c r="M72">
        <v>900</v>
      </c>
      <c r="S72" s="2"/>
      <c r="V72">
        <f t="shared" si="62"/>
        <v>0</v>
      </c>
      <c r="W72">
        <f t="shared" si="48"/>
        <v>0</v>
      </c>
      <c r="X72">
        <f t="shared" si="49"/>
        <v>0</v>
      </c>
      <c r="Y72">
        <f t="shared" si="50"/>
        <v>0</v>
      </c>
      <c r="Z72" s="10">
        <f t="shared" si="63"/>
        <v>0</v>
      </c>
      <c r="AA72" s="10" t="e">
        <f t="shared" si="52"/>
        <v>#DIV/0!</v>
      </c>
      <c r="AB72" s="10"/>
      <c r="AD72" s="10">
        <f>+Z72*$V$3</f>
        <v>0</v>
      </c>
      <c r="AE72" s="10">
        <f t="shared" si="53"/>
        <v>0</v>
      </c>
      <c r="AH72" s="6" t="e">
        <f t="shared" si="56"/>
        <v>#DIV/0!</v>
      </c>
      <c r="AI72" s="6" t="e">
        <f>+AH72+$AD$7</f>
        <v>#DIV/0!</v>
      </c>
      <c r="AJ72" s="6" t="e">
        <f>+$AD$3-AI72</f>
        <v>#DIV/0!</v>
      </c>
      <c r="AK72" s="5" t="e">
        <f>+(AJ72)/AD$3</f>
        <v>#DIV/0!</v>
      </c>
      <c r="AL72" s="44">
        <f t="shared" si="54"/>
        <v>0</v>
      </c>
      <c r="AM72" s="12"/>
      <c r="AN72" s="6"/>
    </row>
    <row r="73" spans="1:40" x14ac:dyDescent="0.15">
      <c r="L73" t="s">
        <v>0</v>
      </c>
      <c r="M73">
        <v>2</v>
      </c>
      <c r="N73" t="s">
        <v>1</v>
      </c>
      <c r="V73">
        <f t="shared" si="62"/>
        <v>0</v>
      </c>
      <c r="W73">
        <f t="shared" si="48"/>
        <v>0</v>
      </c>
      <c r="X73">
        <f t="shared" si="49"/>
        <v>0</v>
      </c>
      <c r="Y73">
        <f t="shared" si="50"/>
        <v>0</v>
      </c>
      <c r="Z73" s="10">
        <f t="shared" si="63"/>
        <v>0</v>
      </c>
      <c r="AA73" s="10" t="e">
        <f t="shared" si="52"/>
        <v>#DIV/0!</v>
      </c>
      <c r="AB73" s="10">
        <f>+Z73*$W$3</f>
        <v>0</v>
      </c>
      <c r="AE73" s="10">
        <f t="shared" si="53"/>
        <v>0</v>
      </c>
      <c r="AH73" s="6" t="e">
        <f t="shared" si="56"/>
        <v>#DIV/0!</v>
      </c>
      <c r="AI73" s="6" t="e">
        <f>+AH73+$AC$7</f>
        <v>#DIV/0!</v>
      </c>
      <c r="AJ73" s="6" t="e">
        <f>+$C$27-AI73</f>
        <v>#DIV/0!</v>
      </c>
      <c r="AK73" s="5" t="e">
        <f>+(AJ73)/$C$27</f>
        <v>#DIV/0!</v>
      </c>
      <c r="AL73" s="44">
        <f t="shared" si="54"/>
        <v>0</v>
      </c>
      <c r="AM73" s="12"/>
      <c r="AN73" s="6"/>
    </row>
    <row r="74" spans="1:40" x14ac:dyDescent="0.15">
      <c r="L74" t="s">
        <v>2</v>
      </c>
      <c r="M74">
        <v>150</v>
      </c>
      <c r="N74" t="s">
        <v>3</v>
      </c>
    </row>
    <row r="75" spans="1:40" x14ac:dyDescent="0.15">
      <c r="L75" t="s">
        <v>4</v>
      </c>
      <c r="M75">
        <v>255</v>
      </c>
      <c r="N75" t="s">
        <v>5</v>
      </c>
    </row>
    <row r="76" spans="1:40" x14ac:dyDescent="0.15">
      <c r="L76" t="s">
        <v>6</v>
      </c>
      <c r="M76">
        <v>11000</v>
      </c>
      <c r="N76" t="s">
        <v>7</v>
      </c>
      <c r="S76" s="43">
        <f>SUM(S51:S74)</f>
        <v>0</v>
      </c>
      <c r="T76" s="43">
        <f t="shared" ref="T76:Z76" si="65">SUM(T51:T74)</f>
        <v>0</v>
      </c>
      <c r="U76" s="43">
        <f t="shared" si="65"/>
        <v>0</v>
      </c>
      <c r="V76" s="43">
        <f t="shared" si="65"/>
        <v>0</v>
      </c>
      <c r="W76" s="43">
        <f t="shared" si="65"/>
        <v>0</v>
      </c>
      <c r="X76" s="43">
        <f t="shared" si="65"/>
        <v>0</v>
      </c>
      <c r="Y76" s="43">
        <f t="shared" si="65"/>
        <v>0</v>
      </c>
      <c r="Z76" s="43">
        <f t="shared" si="65"/>
        <v>0</v>
      </c>
      <c r="AB76" s="43">
        <f t="shared" ref="AB76:AG76" si="66">SUM(AB51:AB74)</f>
        <v>0</v>
      </c>
      <c r="AC76" s="43">
        <f t="shared" si="66"/>
        <v>0</v>
      </c>
      <c r="AD76" s="43">
        <f t="shared" si="66"/>
        <v>0</v>
      </c>
      <c r="AE76" s="43">
        <f t="shared" si="66"/>
        <v>0</v>
      </c>
      <c r="AF76" s="53">
        <f t="shared" si="66"/>
        <v>0</v>
      </c>
      <c r="AG76" s="43">
        <f t="shared" si="66"/>
        <v>0</v>
      </c>
      <c r="AL76" s="44">
        <f>SUM(AL51:AL74)</f>
        <v>0</v>
      </c>
      <c r="AM76" s="44">
        <f>SUM(AM51:AM74)</f>
        <v>0</v>
      </c>
      <c r="AN76" s="54"/>
    </row>
    <row r="77" spans="1:40" x14ac:dyDescent="0.15">
      <c r="L77" t="s">
        <v>8</v>
      </c>
      <c r="M77">
        <v>13000</v>
      </c>
      <c r="N77" t="s">
        <v>9</v>
      </c>
      <c r="R77" s="2"/>
      <c r="S77" s="2"/>
      <c r="Z77" s="10"/>
      <c r="AA77" s="10"/>
      <c r="AB77" s="10"/>
      <c r="AC77" s="10"/>
      <c r="AF77" s="11"/>
      <c r="AH77" s="6"/>
      <c r="AI77" s="6"/>
      <c r="AJ77" s="6"/>
      <c r="AK77" s="5"/>
      <c r="AL77" s="44"/>
      <c r="AM77" s="44"/>
      <c r="AN77" s="13"/>
    </row>
    <row r="78" spans="1:40" x14ac:dyDescent="0.15">
      <c r="S78" s="2"/>
      <c r="U78" s="2"/>
      <c r="V78">
        <f t="shared" ref="V78:V89" si="67">SUM(S78:U78)</f>
        <v>0</v>
      </c>
      <c r="W78">
        <f t="shared" ref="W78:W93" si="68">+S78*$S$7</f>
        <v>0</v>
      </c>
      <c r="X78">
        <f t="shared" ref="X78:X93" si="69">+T78*$T$7</f>
        <v>0</v>
      </c>
      <c r="Y78">
        <f t="shared" ref="Y78:Y88" si="70">+U78*$U$7</f>
        <v>0</v>
      </c>
      <c r="Z78" s="10">
        <f t="shared" ref="Z78:Z88" si="71">SUM(W78:Y78)</f>
        <v>0</v>
      </c>
      <c r="AA78" s="10" t="e">
        <f t="shared" ref="AA78:AA93" si="72">+AE78/V78</f>
        <v>#DIV/0!</v>
      </c>
      <c r="AB78" s="10"/>
      <c r="AC78" s="10"/>
      <c r="AD78" s="10">
        <f>+Z78*$V$3</f>
        <v>0</v>
      </c>
      <c r="AE78" s="10">
        <f t="shared" ref="AE78:AE93" si="73">SUM(AB78:AD78)</f>
        <v>0</v>
      </c>
      <c r="AF78" s="11"/>
      <c r="AH78" s="6" t="e">
        <f>+AF78*$C$42/AE78</f>
        <v>#DIV/0!</v>
      </c>
      <c r="AI78" s="6" t="e">
        <f>+AH78+$AD$7</f>
        <v>#DIV/0!</v>
      </c>
      <c r="AJ78" s="6" t="e">
        <f>+$AD$3-AI78</f>
        <v>#DIV/0!</v>
      </c>
      <c r="AK78" s="5" t="e">
        <f>+(AJ78)/AD$3</f>
        <v>#DIV/0!</v>
      </c>
      <c r="AL78" s="44">
        <f t="shared" ref="AL78:AL93" si="74">+AF78*$C$42</f>
        <v>0</v>
      </c>
      <c r="AM78" s="12"/>
      <c r="AN78" s="13"/>
    </row>
    <row r="79" spans="1:40" x14ac:dyDescent="0.15">
      <c r="R79" s="2"/>
      <c r="S79" s="2"/>
      <c r="U79" s="2"/>
      <c r="V79">
        <f t="shared" si="67"/>
        <v>0</v>
      </c>
      <c r="W79">
        <f t="shared" si="68"/>
        <v>0</v>
      </c>
      <c r="X79">
        <f t="shared" si="69"/>
        <v>0</v>
      </c>
      <c r="Y79">
        <f t="shared" si="70"/>
        <v>0</v>
      </c>
      <c r="Z79" s="10">
        <f t="shared" si="71"/>
        <v>0</v>
      </c>
      <c r="AA79" s="10" t="e">
        <f t="shared" si="72"/>
        <v>#DIV/0!</v>
      </c>
      <c r="AB79" s="10"/>
      <c r="AC79" s="10"/>
      <c r="AD79" s="10">
        <f>+Z79*$V$3</f>
        <v>0</v>
      </c>
      <c r="AE79" s="10">
        <f t="shared" si="73"/>
        <v>0</v>
      </c>
      <c r="AF79" s="11"/>
      <c r="AH79" s="6" t="e">
        <f t="shared" ref="AH79:AH93" si="75">+AF79*$C$42/AE79</f>
        <v>#DIV/0!</v>
      </c>
      <c r="AI79" s="6" t="e">
        <f>+AH79+$AD$7</f>
        <v>#DIV/0!</v>
      </c>
      <c r="AJ79" s="6" t="e">
        <f>+$AD$3-AI79</f>
        <v>#DIV/0!</v>
      </c>
      <c r="AK79" s="5" t="e">
        <f>+(AJ79)/AD$3</f>
        <v>#DIV/0!</v>
      </c>
      <c r="AL79" s="44">
        <f t="shared" si="74"/>
        <v>0</v>
      </c>
      <c r="AM79" s="12"/>
      <c r="AN79" s="13"/>
    </row>
    <row r="80" spans="1:40" x14ac:dyDescent="0.15">
      <c r="C80" t="s">
        <v>10</v>
      </c>
      <c r="D80">
        <v>2008</v>
      </c>
      <c r="S80" s="2"/>
      <c r="U80" s="2"/>
      <c r="V80">
        <f t="shared" si="67"/>
        <v>0</v>
      </c>
      <c r="W80">
        <f t="shared" si="68"/>
        <v>0</v>
      </c>
      <c r="X80">
        <f t="shared" si="69"/>
        <v>0</v>
      </c>
      <c r="Y80">
        <f t="shared" si="70"/>
        <v>0</v>
      </c>
      <c r="Z80" s="10">
        <f t="shared" si="71"/>
        <v>0</v>
      </c>
      <c r="AA80" s="10" t="e">
        <f t="shared" si="72"/>
        <v>#DIV/0!</v>
      </c>
      <c r="AB80" s="10"/>
      <c r="AC80" s="10"/>
      <c r="AD80" s="10">
        <f>+Z80*$V$3</f>
        <v>0</v>
      </c>
      <c r="AE80" s="10">
        <f t="shared" si="73"/>
        <v>0</v>
      </c>
      <c r="AF80" s="11"/>
      <c r="AH80" s="6" t="e">
        <f t="shared" si="75"/>
        <v>#DIV/0!</v>
      </c>
      <c r="AI80" s="6" t="e">
        <f>+AH80+$AD$7</f>
        <v>#DIV/0!</v>
      </c>
      <c r="AJ80" s="6" t="e">
        <f>+$AD$3-AI80</f>
        <v>#DIV/0!</v>
      </c>
      <c r="AK80" s="5" t="e">
        <f>+(AJ80)/AD$3</f>
        <v>#DIV/0!</v>
      </c>
      <c r="AL80" s="44">
        <f t="shared" si="74"/>
        <v>0</v>
      </c>
      <c r="AM80" s="12"/>
      <c r="AN80" s="18"/>
    </row>
    <row r="81" spans="1:40" x14ac:dyDescent="0.15">
      <c r="R81" s="2"/>
      <c r="S81" s="2"/>
      <c r="U81" s="2"/>
      <c r="V81">
        <f t="shared" si="67"/>
        <v>0</v>
      </c>
      <c r="W81">
        <f t="shared" si="68"/>
        <v>0</v>
      </c>
      <c r="X81">
        <f t="shared" si="69"/>
        <v>0</v>
      </c>
      <c r="Y81">
        <f t="shared" si="70"/>
        <v>0</v>
      </c>
      <c r="Z81" s="10">
        <f t="shared" si="71"/>
        <v>0</v>
      </c>
      <c r="AA81" s="10" t="e">
        <f t="shared" si="72"/>
        <v>#DIV/0!</v>
      </c>
      <c r="AB81" s="10">
        <f>+Z81*$W$3</f>
        <v>0</v>
      </c>
      <c r="AC81" s="10"/>
      <c r="AE81" s="10">
        <f t="shared" si="73"/>
        <v>0</v>
      </c>
      <c r="AF81" s="11"/>
      <c r="AH81" s="6" t="e">
        <f t="shared" si="75"/>
        <v>#DIV/0!</v>
      </c>
      <c r="AI81" s="6" t="e">
        <f t="shared" ref="AI81:AI93" si="76">+AH81+$AB$7</f>
        <v>#DIV/0!</v>
      </c>
      <c r="AJ81" s="6" t="e">
        <f t="shared" ref="AJ81:AJ93" si="77">+$C$27-AI81</f>
        <v>#DIV/0!</v>
      </c>
      <c r="AK81" s="5" t="e">
        <f t="shared" ref="AK81:AK93" si="78">+(AJ81)/$C$27</f>
        <v>#DIV/0!</v>
      </c>
      <c r="AL81" s="44">
        <f t="shared" si="74"/>
        <v>0</v>
      </c>
      <c r="AM81" s="12"/>
      <c r="AN81" s="18"/>
    </row>
    <row r="82" spans="1:40" x14ac:dyDescent="0.15">
      <c r="C82" s="39">
        <v>40189</v>
      </c>
      <c r="D82" s="2">
        <v>2008</v>
      </c>
      <c r="E82" s="2"/>
      <c r="F82" s="2"/>
      <c r="G82" s="2"/>
      <c r="S82" s="2"/>
      <c r="U82" s="2"/>
      <c r="V82">
        <f t="shared" si="67"/>
        <v>0</v>
      </c>
      <c r="W82">
        <f t="shared" si="68"/>
        <v>0</v>
      </c>
      <c r="X82">
        <f t="shared" si="69"/>
        <v>0</v>
      </c>
      <c r="Y82">
        <f t="shared" si="70"/>
        <v>0</v>
      </c>
      <c r="Z82" s="10">
        <f t="shared" si="71"/>
        <v>0</v>
      </c>
      <c r="AA82" s="10" t="e">
        <f t="shared" si="72"/>
        <v>#DIV/0!</v>
      </c>
      <c r="AB82" s="10"/>
      <c r="AC82" s="10"/>
      <c r="AD82" s="10">
        <f>+Z82*$V$3</f>
        <v>0</v>
      </c>
      <c r="AE82" s="10">
        <f t="shared" si="73"/>
        <v>0</v>
      </c>
      <c r="AF82" s="11"/>
      <c r="AH82" s="6" t="e">
        <f t="shared" si="75"/>
        <v>#DIV/0!</v>
      </c>
      <c r="AI82" s="6" t="e">
        <f>+AH82+$AD$7</f>
        <v>#DIV/0!</v>
      </c>
      <c r="AJ82" s="6" t="e">
        <f>+$AD$3-AI82</f>
        <v>#DIV/0!</v>
      </c>
      <c r="AK82" s="5" t="e">
        <f>+(AJ82)/AD$3</f>
        <v>#DIV/0!</v>
      </c>
      <c r="AL82" s="44">
        <f t="shared" si="74"/>
        <v>0</v>
      </c>
      <c r="AM82" s="12"/>
    </row>
    <row r="83" spans="1:40" x14ac:dyDescent="0.15">
      <c r="C83" s="39" t="s">
        <v>11</v>
      </c>
      <c r="D83" s="2" t="s">
        <v>12</v>
      </c>
      <c r="E83" s="2"/>
      <c r="F83" s="2"/>
      <c r="G83" s="2"/>
      <c r="R83" s="2"/>
      <c r="S83" s="2"/>
      <c r="U83" s="2"/>
      <c r="V83">
        <f t="shared" si="67"/>
        <v>0</v>
      </c>
      <c r="W83">
        <f t="shared" si="68"/>
        <v>0</v>
      </c>
      <c r="X83">
        <f t="shared" si="69"/>
        <v>0</v>
      </c>
      <c r="Y83">
        <f t="shared" si="70"/>
        <v>0</v>
      </c>
      <c r="Z83" s="10">
        <f t="shared" si="71"/>
        <v>0</v>
      </c>
      <c r="AA83" s="10" t="e">
        <f t="shared" si="72"/>
        <v>#DIV/0!</v>
      </c>
      <c r="AB83" s="10">
        <f t="shared" ref="AB83:AB93" si="79">+Z83*$W$3</f>
        <v>0</v>
      </c>
      <c r="AC83" s="10"/>
      <c r="AD83" s="10"/>
      <c r="AE83" s="10">
        <f t="shared" si="73"/>
        <v>0</v>
      </c>
      <c r="AF83" s="11"/>
      <c r="AH83" s="6" t="e">
        <f t="shared" si="75"/>
        <v>#DIV/0!</v>
      </c>
      <c r="AI83" s="6" t="e">
        <f t="shared" si="76"/>
        <v>#DIV/0!</v>
      </c>
      <c r="AJ83" s="6" t="e">
        <f t="shared" si="77"/>
        <v>#DIV/0!</v>
      </c>
      <c r="AK83" s="5" t="e">
        <f t="shared" si="78"/>
        <v>#DIV/0!</v>
      </c>
      <c r="AL83" s="44">
        <f t="shared" si="74"/>
        <v>0</v>
      </c>
      <c r="AM83" s="12"/>
    </row>
    <row r="84" spans="1:40" x14ac:dyDescent="0.15">
      <c r="B84" s="10">
        <v>2008</v>
      </c>
      <c r="C84" s="2" t="s">
        <v>164</v>
      </c>
      <c r="D84" s="2" t="s">
        <v>165</v>
      </c>
      <c r="E84" s="2" t="s">
        <v>166</v>
      </c>
      <c r="F84" s="2" t="s">
        <v>167</v>
      </c>
      <c r="G84" s="2" t="s">
        <v>62</v>
      </c>
      <c r="S84" s="2"/>
      <c r="U84" s="2"/>
      <c r="V84">
        <f t="shared" si="67"/>
        <v>0</v>
      </c>
      <c r="W84">
        <f t="shared" si="68"/>
        <v>0</v>
      </c>
      <c r="X84">
        <f t="shared" si="69"/>
        <v>0</v>
      </c>
      <c r="Y84">
        <f t="shared" si="70"/>
        <v>0</v>
      </c>
      <c r="Z84" s="10">
        <f t="shared" si="71"/>
        <v>0</v>
      </c>
      <c r="AA84" s="10" t="e">
        <f t="shared" si="72"/>
        <v>#DIV/0!</v>
      </c>
      <c r="AB84" s="10">
        <f t="shared" si="79"/>
        <v>0</v>
      </c>
      <c r="AC84" s="10"/>
      <c r="AE84" s="10">
        <f t="shared" si="73"/>
        <v>0</v>
      </c>
      <c r="AF84" s="11"/>
      <c r="AH84" s="6" t="e">
        <f t="shared" si="75"/>
        <v>#DIV/0!</v>
      </c>
      <c r="AI84" s="6" t="e">
        <f t="shared" si="76"/>
        <v>#DIV/0!</v>
      </c>
      <c r="AJ84" s="6" t="e">
        <f t="shared" si="77"/>
        <v>#DIV/0!</v>
      </c>
      <c r="AK84" s="5" t="e">
        <f t="shared" si="78"/>
        <v>#DIV/0!</v>
      </c>
      <c r="AL84" s="44">
        <f t="shared" si="74"/>
        <v>0</v>
      </c>
      <c r="AM84" s="12"/>
      <c r="AN84" s="55"/>
    </row>
    <row r="85" spans="1:40" x14ac:dyDescent="0.15">
      <c r="R85" s="2"/>
      <c r="S85" s="2"/>
      <c r="U85" s="2"/>
      <c r="V85">
        <f t="shared" si="67"/>
        <v>0</v>
      </c>
      <c r="W85">
        <f t="shared" si="68"/>
        <v>0</v>
      </c>
      <c r="X85">
        <f t="shared" si="69"/>
        <v>0</v>
      </c>
      <c r="Y85">
        <f t="shared" si="70"/>
        <v>0</v>
      </c>
      <c r="Z85" s="10">
        <f t="shared" si="71"/>
        <v>0</v>
      </c>
      <c r="AA85" s="10" t="e">
        <f t="shared" si="72"/>
        <v>#DIV/0!</v>
      </c>
      <c r="AB85" s="10">
        <f t="shared" si="79"/>
        <v>0</v>
      </c>
      <c r="AC85" s="10"/>
      <c r="AD85" s="10"/>
      <c r="AE85" s="10">
        <f t="shared" si="73"/>
        <v>0</v>
      </c>
      <c r="AF85" s="11"/>
      <c r="AH85" s="6" t="e">
        <f t="shared" si="75"/>
        <v>#DIV/0!</v>
      </c>
      <c r="AI85" s="6" t="e">
        <f t="shared" si="76"/>
        <v>#DIV/0!</v>
      </c>
      <c r="AJ85" s="6" t="e">
        <f t="shared" si="77"/>
        <v>#DIV/0!</v>
      </c>
      <c r="AK85" s="5" t="e">
        <f t="shared" si="78"/>
        <v>#DIV/0!</v>
      </c>
      <c r="AL85" s="44">
        <f t="shared" si="74"/>
        <v>0</v>
      </c>
      <c r="AM85" s="12"/>
      <c r="AN85" s="56"/>
    </row>
    <row r="86" spans="1:40" x14ac:dyDescent="0.15">
      <c r="A86" s="14" t="s">
        <v>64</v>
      </c>
      <c r="B86" s="6">
        <v>885</v>
      </c>
      <c r="C86">
        <v>0.91959999999999997</v>
      </c>
      <c r="D86" s="6">
        <f>+C86*B86</f>
        <v>813.846</v>
      </c>
      <c r="E86" s="6">
        <v>324</v>
      </c>
      <c r="F86" s="5">
        <v>0.12</v>
      </c>
      <c r="G86" s="6">
        <f>+D86-E86</f>
        <v>489.846</v>
      </c>
      <c r="S86" s="2"/>
      <c r="U86" s="2"/>
      <c r="V86">
        <f t="shared" si="67"/>
        <v>0</v>
      </c>
      <c r="W86">
        <f t="shared" si="68"/>
        <v>0</v>
      </c>
      <c r="X86">
        <f t="shared" si="69"/>
        <v>0</v>
      </c>
      <c r="Y86">
        <f t="shared" si="70"/>
        <v>0</v>
      </c>
      <c r="Z86" s="10">
        <f t="shared" si="71"/>
        <v>0</v>
      </c>
      <c r="AA86" s="10" t="e">
        <f t="shared" si="72"/>
        <v>#DIV/0!</v>
      </c>
      <c r="AB86" s="10">
        <f t="shared" si="79"/>
        <v>0</v>
      </c>
      <c r="AC86" s="10"/>
      <c r="AD86" s="10"/>
      <c r="AE86" s="10">
        <f t="shared" si="73"/>
        <v>0</v>
      </c>
      <c r="AF86" s="11"/>
      <c r="AH86" s="6" t="e">
        <f t="shared" si="75"/>
        <v>#DIV/0!</v>
      </c>
      <c r="AI86" s="6" t="e">
        <f t="shared" si="76"/>
        <v>#DIV/0!</v>
      </c>
      <c r="AJ86" s="6" t="e">
        <f t="shared" si="77"/>
        <v>#DIV/0!</v>
      </c>
      <c r="AK86" s="5" t="e">
        <f t="shared" si="78"/>
        <v>#DIV/0!</v>
      </c>
      <c r="AL86" s="44">
        <f t="shared" si="74"/>
        <v>0</v>
      </c>
      <c r="AM86" s="12"/>
      <c r="AN86" s="57"/>
    </row>
    <row r="87" spans="1:40" x14ac:dyDescent="0.15">
      <c r="A87" s="14" t="s">
        <v>65</v>
      </c>
      <c r="B87" s="6">
        <v>393</v>
      </c>
      <c r="C87">
        <v>0.96299999999999997</v>
      </c>
      <c r="D87" s="6">
        <f t="shared" ref="D87:D92" si="80">+C87*B87</f>
        <v>378.459</v>
      </c>
      <c r="E87" s="6">
        <v>402</v>
      </c>
      <c r="F87" s="5">
        <v>0.12</v>
      </c>
      <c r="G87" s="6">
        <f t="shared" ref="G87:G92" si="81">+D87-E87</f>
        <v>-23.540999999999997</v>
      </c>
      <c r="R87" s="2"/>
      <c r="S87" s="2"/>
      <c r="U87" s="2"/>
      <c r="V87">
        <f t="shared" si="67"/>
        <v>0</v>
      </c>
      <c r="W87">
        <f t="shared" si="68"/>
        <v>0</v>
      </c>
      <c r="X87">
        <f t="shared" si="69"/>
        <v>0</v>
      </c>
      <c r="Y87">
        <f t="shared" si="70"/>
        <v>0</v>
      </c>
      <c r="Z87" s="10">
        <f t="shared" si="71"/>
        <v>0</v>
      </c>
      <c r="AA87" s="10" t="e">
        <f t="shared" si="72"/>
        <v>#DIV/0!</v>
      </c>
      <c r="AB87" s="10">
        <f t="shared" si="79"/>
        <v>0</v>
      </c>
      <c r="AC87" s="10"/>
      <c r="AD87" s="10"/>
      <c r="AE87" s="10">
        <f t="shared" si="73"/>
        <v>0</v>
      </c>
      <c r="AF87" s="11"/>
      <c r="AH87" s="6" t="e">
        <f t="shared" si="75"/>
        <v>#DIV/0!</v>
      </c>
      <c r="AI87" s="6" t="e">
        <f t="shared" si="76"/>
        <v>#DIV/0!</v>
      </c>
      <c r="AJ87" s="6" t="e">
        <f t="shared" si="77"/>
        <v>#DIV/0!</v>
      </c>
      <c r="AK87" s="5" t="e">
        <f t="shared" si="78"/>
        <v>#DIV/0!</v>
      </c>
      <c r="AL87" s="44">
        <f t="shared" si="74"/>
        <v>0</v>
      </c>
      <c r="AM87" s="12"/>
      <c r="AN87" s="29"/>
    </row>
    <row r="88" spans="1:40" x14ac:dyDescent="0.15">
      <c r="A88" s="14" t="s">
        <v>66</v>
      </c>
      <c r="B88" s="6">
        <v>1276</v>
      </c>
      <c r="C88">
        <v>0.80430000000000001</v>
      </c>
      <c r="D88" s="6">
        <f t="shared" si="80"/>
        <v>1026.2868000000001</v>
      </c>
      <c r="E88" s="6">
        <v>425</v>
      </c>
      <c r="F88" s="5">
        <v>0.12</v>
      </c>
      <c r="G88" s="6">
        <f t="shared" si="81"/>
        <v>601.28680000000008</v>
      </c>
      <c r="S88" s="2"/>
      <c r="U88" s="2"/>
      <c r="V88">
        <f t="shared" si="67"/>
        <v>0</v>
      </c>
      <c r="W88">
        <f t="shared" si="68"/>
        <v>0</v>
      </c>
      <c r="X88">
        <f t="shared" si="69"/>
        <v>0</v>
      </c>
      <c r="Y88">
        <f t="shared" si="70"/>
        <v>0</v>
      </c>
      <c r="Z88">
        <f t="shared" si="71"/>
        <v>0</v>
      </c>
      <c r="AA88" s="10" t="e">
        <f t="shared" si="72"/>
        <v>#DIV/0!</v>
      </c>
      <c r="AB88" s="10">
        <f t="shared" si="79"/>
        <v>0</v>
      </c>
      <c r="AC88" s="10"/>
      <c r="AD88" s="10"/>
      <c r="AE88" s="10">
        <f t="shared" si="73"/>
        <v>0</v>
      </c>
      <c r="AF88" s="11"/>
      <c r="AH88" s="6" t="e">
        <f t="shared" si="75"/>
        <v>#DIV/0!</v>
      </c>
      <c r="AI88" s="6" t="e">
        <f t="shared" si="76"/>
        <v>#DIV/0!</v>
      </c>
      <c r="AJ88" s="6" t="e">
        <f t="shared" si="77"/>
        <v>#DIV/0!</v>
      </c>
      <c r="AK88" s="5" t="e">
        <f t="shared" si="78"/>
        <v>#DIV/0!</v>
      </c>
      <c r="AL88" s="44">
        <f t="shared" si="74"/>
        <v>0</v>
      </c>
      <c r="AM88" s="12"/>
      <c r="AN88" s="27"/>
    </row>
    <row r="89" spans="1:40" x14ac:dyDescent="0.15">
      <c r="A89" s="14" t="s">
        <v>67</v>
      </c>
      <c r="B89" s="6">
        <v>1031</v>
      </c>
      <c r="C89">
        <v>0.93920000000000003</v>
      </c>
      <c r="D89" s="6">
        <f t="shared" si="80"/>
        <v>968.3152</v>
      </c>
      <c r="E89" s="6">
        <v>86</v>
      </c>
      <c r="F89" s="5">
        <v>0.1</v>
      </c>
      <c r="G89" s="6">
        <f t="shared" si="81"/>
        <v>882.3152</v>
      </c>
      <c r="R89" s="2"/>
      <c r="S89" s="2"/>
      <c r="U89" s="2"/>
      <c r="V89">
        <f t="shared" si="67"/>
        <v>0</v>
      </c>
      <c r="W89">
        <f t="shared" si="68"/>
        <v>0</v>
      </c>
      <c r="X89">
        <f t="shared" si="69"/>
        <v>0</v>
      </c>
      <c r="Z89">
        <f>SUM(W89:Y89)</f>
        <v>0</v>
      </c>
      <c r="AA89" s="10" t="e">
        <f t="shared" si="72"/>
        <v>#DIV/0!</v>
      </c>
      <c r="AB89" s="10">
        <f t="shared" si="79"/>
        <v>0</v>
      </c>
      <c r="AC89" s="10"/>
      <c r="AD89" s="10"/>
      <c r="AE89" s="10">
        <f t="shared" si="73"/>
        <v>0</v>
      </c>
      <c r="AF89" s="11"/>
      <c r="AH89" s="6" t="e">
        <f t="shared" si="75"/>
        <v>#DIV/0!</v>
      </c>
      <c r="AI89" s="6" t="e">
        <f t="shared" si="76"/>
        <v>#DIV/0!</v>
      </c>
      <c r="AJ89" s="6" t="e">
        <f t="shared" si="77"/>
        <v>#DIV/0!</v>
      </c>
      <c r="AK89" s="5" t="e">
        <f t="shared" si="78"/>
        <v>#DIV/0!</v>
      </c>
      <c r="AL89" s="44">
        <f t="shared" si="74"/>
        <v>0</v>
      </c>
      <c r="AM89" s="12"/>
      <c r="AN89" s="58"/>
    </row>
    <row r="90" spans="1:40" x14ac:dyDescent="0.15">
      <c r="A90" s="20" t="s">
        <v>68</v>
      </c>
      <c r="B90" s="6">
        <v>781</v>
      </c>
      <c r="C90">
        <v>1.0646</v>
      </c>
      <c r="D90" s="6">
        <f t="shared" si="80"/>
        <v>831.45259999999996</v>
      </c>
      <c r="E90" s="6">
        <v>86</v>
      </c>
      <c r="F90" s="5">
        <v>0.1</v>
      </c>
      <c r="G90" s="6">
        <f t="shared" si="81"/>
        <v>745.45259999999996</v>
      </c>
      <c r="S90" s="2"/>
      <c r="U90" s="2"/>
      <c r="V90">
        <f>SUM(S90:U90)</f>
        <v>0</v>
      </c>
      <c r="W90">
        <f t="shared" si="68"/>
        <v>0</v>
      </c>
      <c r="X90">
        <f t="shared" si="69"/>
        <v>0</v>
      </c>
      <c r="Z90">
        <f>SUM(W90:Y90)</f>
        <v>0</v>
      </c>
      <c r="AA90" s="10" t="e">
        <f t="shared" si="72"/>
        <v>#DIV/0!</v>
      </c>
      <c r="AB90" s="10">
        <f t="shared" si="79"/>
        <v>0</v>
      </c>
      <c r="AC90" s="10"/>
      <c r="AD90" s="10"/>
      <c r="AE90" s="10">
        <f t="shared" si="73"/>
        <v>0</v>
      </c>
      <c r="AF90" s="11"/>
      <c r="AH90" s="6" t="e">
        <f t="shared" si="75"/>
        <v>#DIV/0!</v>
      </c>
      <c r="AI90" s="6" t="e">
        <f t="shared" si="76"/>
        <v>#DIV/0!</v>
      </c>
      <c r="AJ90" s="6" t="e">
        <f t="shared" si="77"/>
        <v>#DIV/0!</v>
      </c>
      <c r="AK90" s="5" t="e">
        <f t="shared" si="78"/>
        <v>#DIV/0!</v>
      </c>
      <c r="AL90" s="44">
        <f t="shared" si="74"/>
        <v>0</v>
      </c>
      <c r="AM90" s="12"/>
    </row>
    <row r="91" spans="1:40" x14ac:dyDescent="0.15">
      <c r="A91" s="20" t="s">
        <v>69</v>
      </c>
      <c r="B91" s="6">
        <v>538</v>
      </c>
      <c r="C91">
        <v>0.88690000000000002</v>
      </c>
      <c r="D91" s="6">
        <f t="shared" si="80"/>
        <v>477.15219999999999</v>
      </c>
      <c r="E91" s="6">
        <v>86</v>
      </c>
      <c r="F91" s="5">
        <v>0.1</v>
      </c>
      <c r="G91" s="6">
        <f t="shared" si="81"/>
        <v>391.15219999999999</v>
      </c>
      <c r="R91" s="2"/>
      <c r="S91" s="2"/>
      <c r="V91">
        <f>SUM(S91:U91)</f>
        <v>0</v>
      </c>
      <c r="W91">
        <f t="shared" si="68"/>
        <v>0</v>
      </c>
      <c r="X91">
        <f t="shared" si="69"/>
        <v>0</v>
      </c>
      <c r="Z91">
        <f>SUM(W91:Y91)</f>
        <v>0</v>
      </c>
      <c r="AA91" s="10" t="e">
        <f t="shared" si="72"/>
        <v>#DIV/0!</v>
      </c>
      <c r="AB91" s="10"/>
      <c r="AD91" s="10">
        <f>+Z91*$V$3</f>
        <v>0</v>
      </c>
      <c r="AE91" s="10">
        <f t="shared" si="73"/>
        <v>0</v>
      </c>
      <c r="AH91" s="6" t="e">
        <f t="shared" si="75"/>
        <v>#DIV/0!</v>
      </c>
      <c r="AI91" s="6" t="e">
        <f>+AH91+$AD$7</f>
        <v>#DIV/0!</v>
      </c>
      <c r="AJ91" s="6" t="e">
        <f>+$AD$3-AI91</f>
        <v>#DIV/0!</v>
      </c>
      <c r="AK91" s="5" t="e">
        <f>+(AJ91)/AD$3</f>
        <v>#DIV/0!</v>
      </c>
      <c r="AL91" s="44">
        <f t="shared" si="74"/>
        <v>0</v>
      </c>
      <c r="AM91" s="12"/>
    </row>
    <row r="92" spans="1:40" x14ac:dyDescent="0.15">
      <c r="A92" s="20" t="s">
        <v>70</v>
      </c>
      <c r="B92" s="6">
        <v>478</v>
      </c>
      <c r="C92">
        <v>0.93330000000000002</v>
      </c>
      <c r="D92" s="6">
        <f t="shared" si="80"/>
        <v>446.11740000000003</v>
      </c>
      <c r="E92" s="6">
        <v>86</v>
      </c>
      <c r="F92" s="5">
        <v>0.1</v>
      </c>
      <c r="G92" s="6">
        <f t="shared" si="81"/>
        <v>360.11740000000003</v>
      </c>
      <c r="V92">
        <f>SUM(S92:U92)</f>
        <v>0</v>
      </c>
      <c r="W92">
        <f t="shared" si="68"/>
        <v>0</v>
      </c>
      <c r="X92">
        <f t="shared" si="69"/>
        <v>0</v>
      </c>
      <c r="Z92">
        <f>SUM(W92:Y92)</f>
        <v>0</v>
      </c>
      <c r="AA92" s="10" t="e">
        <f t="shared" si="72"/>
        <v>#DIV/0!</v>
      </c>
      <c r="AB92" s="10">
        <v>0</v>
      </c>
      <c r="AD92" s="10">
        <f>+Z92*$V$3</f>
        <v>0</v>
      </c>
      <c r="AE92" s="10">
        <f t="shared" si="73"/>
        <v>0</v>
      </c>
      <c r="AH92" s="6" t="e">
        <f t="shared" si="75"/>
        <v>#DIV/0!</v>
      </c>
      <c r="AI92" s="6" t="e">
        <f>+AH92+$AD$7</f>
        <v>#DIV/0!</v>
      </c>
      <c r="AJ92" s="6" t="e">
        <f>+$AD$3-AI92</f>
        <v>#DIV/0!</v>
      </c>
      <c r="AK92" s="5" t="e">
        <f>+(AJ92)/AD$3</f>
        <v>#DIV/0!</v>
      </c>
      <c r="AL92" s="44">
        <f t="shared" si="74"/>
        <v>0</v>
      </c>
      <c r="AM92" s="12"/>
    </row>
    <row r="93" spans="1:40" x14ac:dyDescent="0.15">
      <c r="V93">
        <f>SUM(S93:U93)</f>
        <v>0</v>
      </c>
      <c r="W93">
        <f t="shared" si="68"/>
        <v>0</v>
      </c>
      <c r="X93">
        <f t="shared" si="69"/>
        <v>0</v>
      </c>
      <c r="Z93">
        <f>SUM(W93:Y93)</f>
        <v>0</v>
      </c>
      <c r="AA93" s="10" t="e">
        <f t="shared" si="72"/>
        <v>#DIV/0!</v>
      </c>
      <c r="AB93" s="10">
        <f t="shared" si="79"/>
        <v>0</v>
      </c>
      <c r="AE93" s="10">
        <f t="shared" si="73"/>
        <v>0</v>
      </c>
      <c r="AH93" s="6" t="e">
        <f t="shared" si="75"/>
        <v>#DIV/0!</v>
      </c>
      <c r="AI93" s="6" t="e">
        <f t="shared" si="76"/>
        <v>#DIV/0!</v>
      </c>
      <c r="AJ93" s="6" t="e">
        <f t="shared" si="77"/>
        <v>#DIV/0!</v>
      </c>
      <c r="AK93" s="5" t="e">
        <f t="shared" si="78"/>
        <v>#DIV/0!</v>
      </c>
      <c r="AL93" s="44">
        <f t="shared" si="74"/>
        <v>0</v>
      </c>
      <c r="AM93" s="12"/>
    </row>
    <row r="95" spans="1:40" x14ac:dyDescent="0.15">
      <c r="R95" s="2"/>
      <c r="S95">
        <f>SUM(S78:S92)</f>
        <v>0</v>
      </c>
      <c r="T95">
        <f t="shared" ref="T95:Z95" si="82">SUM(T78:T92)</f>
        <v>0</v>
      </c>
      <c r="U95">
        <f t="shared" si="82"/>
        <v>0</v>
      </c>
      <c r="V95">
        <f t="shared" si="82"/>
        <v>0</v>
      </c>
      <c r="W95">
        <f t="shared" si="82"/>
        <v>0</v>
      </c>
      <c r="X95">
        <f t="shared" si="82"/>
        <v>0</v>
      </c>
      <c r="Y95">
        <f t="shared" si="82"/>
        <v>0</v>
      </c>
      <c r="Z95">
        <f t="shared" si="82"/>
        <v>0</v>
      </c>
      <c r="AB95">
        <f t="shared" ref="AB95:AG95" si="83">SUM(AB78:AB92)</f>
        <v>0</v>
      </c>
      <c r="AC95">
        <f t="shared" si="83"/>
        <v>0</v>
      </c>
      <c r="AD95">
        <f t="shared" si="83"/>
        <v>0</v>
      </c>
      <c r="AE95">
        <f t="shared" si="83"/>
        <v>0</v>
      </c>
      <c r="AF95">
        <f t="shared" si="83"/>
        <v>0</v>
      </c>
      <c r="AG95">
        <f t="shared" si="83"/>
        <v>0</v>
      </c>
      <c r="AL95" s="6">
        <f>SUM(AL78:AL92)</f>
        <v>0</v>
      </c>
      <c r="AM95" s="6">
        <f>SUM(AM78:AM92)</f>
        <v>0</v>
      </c>
    </row>
    <row r="96" spans="1:40" x14ac:dyDescent="0.15">
      <c r="S96" s="2"/>
      <c r="U96" s="2"/>
      <c r="AA96" s="10"/>
      <c r="AB96" s="10"/>
      <c r="AC96" s="10"/>
      <c r="AD96" s="10"/>
      <c r="AE96" s="10"/>
      <c r="AF96" s="11"/>
      <c r="AH96" s="6"/>
      <c r="AI96" s="6"/>
      <c r="AJ96" s="6"/>
      <c r="AK96" s="5"/>
      <c r="AL96" s="44"/>
      <c r="AM96" s="44"/>
      <c r="AN96" s="6"/>
    </row>
    <row r="97" spans="2:40" x14ac:dyDescent="0.15">
      <c r="V97">
        <f>SUM(S97:U97)</f>
        <v>0</v>
      </c>
      <c r="W97">
        <f>+S97*$S$7</f>
        <v>0</v>
      </c>
      <c r="X97">
        <f>+T97*$T$7</f>
        <v>0</v>
      </c>
      <c r="Y97">
        <f>+U97*$U$7</f>
        <v>0</v>
      </c>
      <c r="Z97">
        <f>SUM(W97:Y97)</f>
        <v>0</v>
      </c>
      <c r="AA97" s="10" t="e">
        <f>+AE97/V97</f>
        <v>#DIV/0!</v>
      </c>
      <c r="AD97" s="10">
        <f>+Z97*$V$3</f>
        <v>0</v>
      </c>
      <c r="AE97" s="10">
        <f>SUM(AB97:AD97)</f>
        <v>0</v>
      </c>
      <c r="AH97" s="6" t="e">
        <f>+AF97*$C$42/AE97</f>
        <v>#DIV/0!</v>
      </c>
      <c r="AI97" s="6" t="e">
        <f>+AH97+$AD$7</f>
        <v>#DIV/0!</v>
      </c>
      <c r="AJ97" s="6" t="e">
        <f>+$AD$3-AI97</f>
        <v>#DIV/0!</v>
      </c>
      <c r="AK97" s="5" t="e">
        <f>+(AJ97)/AD$3</f>
        <v>#DIV/0!</v>
      </c>
      <c r="AL97" s="44">
        <f>+AF97*$C$42</f>
        <v>0</v>
      </c>
      <c r="AM97" s="12"/>
    </row>
    <row r="98" spans="2:40" x14ac:dyDescent="0.15">
      <c r="B98" s="9" t="s">
        <v>153</v>
      </c>
      <c r="C98" t="s">
        <v>239</v>
      </c>
      <c r="F98" s="9" t="s">
        <v>154</v>
      </c>
      <c r="V98">
        <f>SUM(S98:U98)</f>
        <v>0</v>
      </c>
      <c r="W98">
        <f>+S98*$S$7</f>
        <v>0</v>
      </c>
      <c r="X98">
        <f>+T98*$T$7</f>
        <v>0</v>
      </c>
      <c r="Y98">
        <f>+U98*$U$7</f>
        <v>0</v>
      </c>
      <c r="Z98">
        <f>SUM(W98:Y98)</f>
        <v>0</v>
      </c>
      <c r="AA98" s="10" t="e">
        <f>+AE98/V98</f>
        <v>#DIV/0!</v>
      </c>
      <c r="AD98" s="10">
        <f>+Z98*$V$3</f>
        <v>0</v>
      </c>
      <c r="AE98" s="10">
        <f>SUM(AB98:AD98)</f>
        <v>0</v>
      </c>
      <c r="AH98" s="6" t="e">
        <f>+AF98*$C$42/AE98</f>
        <v>#DIV/0!</v>
      </c>
      <c r="AI98" s="6" t="e">
        <f t="shared" ref="AI98:AI115" si="84">+AH98+$AD$7</f>
        <v>#DIV/0!</v>
      </c>
      <c r="AJ98" s="6" t="e">
        <f t="shared" ref="AJ98:AJ115" si="85">+$AD$3-AI98</f>
        <v>#DIV/0!</v>
      </c>
      <c r="AK98" s="5" t="e">
        <f>+(AJ98)/AD$3</f>
        <v>#DIV/0!</v>
      </c>
      <c r="AL98" s="44">
        <f>+AF98*$C$42</f>
        <v>0</v>
      </c>
      <c r="AM98" s="12"/>
    </row>
    <row r="99" spans="2:40" x14ac:dyDescent="0.15">
      <c r="N99" t="s">
        <v>240</v>
      </c>
      <c r="V99">
        <f>SUM(S99:U99)</f>
        <v>0</v>
      </c>
      <c r="W99">
        <f>+S99*$S$7</f>
        <v>0</v>
      </c>
      <c r="X99">
        <f>+T99*$T$7</f>
        <v>0</v>
      </c>
      <c r="Y99">
        <f>+U99*$U$7</f>
        <v>0</v>
      </c>
      <c r="Z99">
        <f>SUM(W99:Y99)</f>
        <v>0</v>
      </c>
      <c r="AA99" s="10" t="e">
        <f>+AE99/V99</f>
        <v>#DIV/0!</v>
      </c>
      <c r="AD99" s="10">
        <f>+Z99*$V$3</f>
        <v>0</v>
      </c>
      <c r="AE99" s="10">
        <f>SUM(AB99:AD99)</f>
        <v>0</v>
      </c>
      <c r="AH99" s="6" t="e">
        <f>+AF99*$C$42/AE99</f>
        <v>#DIV/0!</v>
      </c>
      <c r="AI99" s="6" t="e">
        <f t="shared" si="84"/>
        <v>#DIV/0!</v>
      </c>
      <c r="AJ99" s="6" t="e">
        <f t="shared" si="85"/>
        <v>#DIV/0!</v>
      </c>
      <c r="AK99" s="5" t="e">
        <f>+(AJ99)/AD$3</f>
        <v>#DIV/0!</v>
      </c>
      <c r="AL99" s="44">
        <f>+AF99*$C$42</f>
        <v>0</v>
      </c>
      <c r="AM99" s="12"/>
    </row>
    <row r="100" spans="2:40" x14ac:dyDescent="0.15">
      <c r="C100" s="2" t="s">
        <v>241</v>
      </c>
      <c r="D100" s="2" t="s">
        <v>155</v>
      </c>
      <c r="F100" s="9" t="s">
        <v>156</v>
      </c>
      <c r="K100" s="2"/>
      <c r="L100" s="2" t="s">
        <v>242</v>
      </c>
      <c r="M100" s="2"/>
      <c r="N100" t="s">
        <v>200</v>
      </c>
      <c r="S100" s="2"/>
      <c r="U100" s="2"/>
      <c r="V100">
        <f t="shared" ref="V100:V116" si="86">SUM(S100:U100)</f>
        <v>0</v>
      </c>
      <c r="W100">
        <f t="shared" ref="W100:W116" si="87">+S100*$S$7</f>
        <v>0</v>
      </c>
      <c r="X100">
        <f t="shared" ref="X100:X116" si="88">+T100*$T$7</f>
        <v>0</v>
      </c>
      <c r="Y100">
        <f t="shared" ref="Y100:Y116" si="89">+U100*$U$7</f>
        <v>0</v>
      </c>
      <c r="Z100">
        <f t="shared" ref="Z100:Z115" si="90">SUM(W100:Y100)</f>
        <v>0</v>
      </c>
      <c r="AA100" s="10" t="e">
        <f t="shared" ref="AA100:AA116" si="91">+AE100/V100</f>
        <v>#DIV/0!</v>
      </c>
      <c r="AB100" s="10"/>
      <c r="AC100" s="10"/>
      <c r="AD100" s="10">
        <f t="shared" ref="AD100:AD115" si="92">+Z100*$V$3</f>
        <v>0</v>
      </c>
      <c r="AE100" s="10">
        <f t="shared" ref="AE100:AE116" si="93">SUM(AB100:AD100)</f>
        <v>0</v>
      </c>
      <c r="AF100" s="11"/>
      <c r="AH100" s="6" t="e">
        <f t="shared" ref="AH100:AH116" si="94">+AF100*$C$42/AE100</f>
        <v>#DIV/0!</v>
      </c>
      <c r="AI100" s="6" t="e">
        <f t="shared" si="84"/>
        <v>#DIV/0!</v>
      </c>
      <c r="AJ100" s="6" t="e">
        <f t="shared" si="85"/>
        <v>#DIV/0!</v>
      </c>
      <c r="AK100" s="5" t="e">
        <f>+(AJ100)/AD$3</f>
        <v>#DIV/0!</v>
      </c>
      <c r="AL100" s="44">
        <f t="shared" ref="AL100:AL116" si="95">+AF100*$C$42</f>
        <v>0</v>
      </c>
      <c r="AM100" s="12"/>
    </row>
    <row r="101" spans="2:40" x14ac:dyDescent="0.15">
      <c r="K101" s="2" t="s">
        <v>243</v>
      </c>
      <c r="L101" s="2" t="s">
        <v>85</v>
      </c>
      <c r="M101" s="2" t="s">
        <v>86</v>
      </c>
      <c r="S101" s="2"/>
      <c r="U101" s="2"/>
      <c r="V101">
        <f t="shared" si="86"/>
        <v>0</v>
      </c>
      <c r="W101">
        <f t="shared" si="87"/>
        <v>0</v>
      </c>
      <c r="X101">
        <f t="shared" si="88"/>
        <v>0</v>
      </c>
      <c r="Y101">
        <f t="shared" si="89"/>
        <v>0</v>
      </c>
      <c r="Z101">
        <f t="shared" si="90"/>
        <v>0</v>
      </c>
      <c r="AA101" s="10" t="e">
        <f t="shared" si="91"/>
        <v>#DIV/0!</v>
      </c>
      <c r="AB101" s="10"/>
      <c r="AC101" s="10"/>
      <c r="AD101" s="10">
        <f t="shared" si="92"/>
        <v>0</v>
      </c>
      <c r="AE101" s="10">
        <f t="shared" si="93"/>
        <v>0</v>
      </c>
      <c r="AF101" s="11"/>
      <c r="AH101" s="6" t="e">
        <f t="shared" si="94"/>
        <v>#DIV/0!</v>
      </c>
      <c r="AI101" s="6" t="e">
        <f t="shared" si="84"/>
        <v>#DIV/0!</v>
      </c>
      <c r="AJ101" s="6" t="e">
        <f t="shared" si="85"/>
        <v>#DIV/0!</v>
      </c>
      <c r="AK101" s="5" t="e">
        <f>+(AJ101)/AD$3</f>
        <v>#DIV/0!</v>
      </c>
      <c r="AL101" s="44">
        <f t="shared" si="95"/>
        <v>0</v>
      </c>
      <c r="AM101" s="12"/>
      <c r="AN101" s="19"/>
    </row>
    <row r="102" spans="2:40" x14ac:dyDescent="0.15">
      <c r="B102" t="s">
        <v>125</v>
      </c>
      <c r="C102" s="6">
        <f>31.7/(1-G104)</f>
        <v>38.377723970944309</v>
      </c>
      <c r="D102">
        <v>40</v>
      </c>
      <c r="F102" t="s">
        <v>122</v>
      </c>
      <c r="G102">
        <v>29</v>
      </c>
      <c r="K102" s="6">
        <f>+C102+C103+C109+C110+C111+C40+C47</f>
        <v>464.71024320814752</v>
      </c>
      <c r="L102" s="6">
        <f>+C124+C125+C131+C132+C133+C40+C47</f>
        <v>473.33512677720273</v>
      </c>
      <c r="M102" s="6" t="e">
        <f>+C147+C148+C154+C155+C156+C40+C47</f>
        <v>#VALUE!</v>
      </c>
      <c r="N102" s="6">
        <f>+(L102*0.75)+(L110*0.25)</f>
        <v>452.82794901971255</v>
      </c>
      <c r="S102" s="2"/>
      <c r="U102" s="2"/>
      <c r="V102">
        <f t="shared" si="86"/>
        <v>0</v>
      </c>
      <c r="W102">
        <f t="shared" si="87"/>
        <v>0</v>
      </c>
      <c r="X102">
        <f t="shared" si="88"/>
        <v>0</v>
      </c>
      <c r="Y102">
        <f t="shared" si="89"/>
        <v>0</v>
      </c>
      <c r="Z102">
        <f t="shared" si="90"/>
        <v>0</v>
      </c>
      <c r="AA102" s="10" t="e">
        <f t="shared" si="91"/>
        <v>#DIV/0!</v>
      </c>
      <c r="AB102" s="10">
        <f>+Z102*$W$3</f>
        <v>0</v>
      </c>
      <c r="AC102" s="10"/>
      <c r="AD102" s="10"/>
      <c r="AE102" s="10">
        <f t="shared" si="93"/>
        <v>0</v>
      </c>
      <c r="AF102" s="11"/>
      <c r="AH102" s="6" t="e">
        <f t="shared" si="94"/>
        <v>#DIV/0!</v>
      </c>
      <c r="AI102" s="6" t="e">
        <f>+AH102+$AB$7</f>
        <v>#DIV/0!</v>
      </c>
      <c r="AJ102" s="6" t="e">
        <f>+$C$27-AI102</f>
        <v>#DIV/0!</v>
      </c>
      <c r="AK102" s="5" t="e">
        <f>+(AJ102)/$C$27</f>
        <v>#DIV/0!</v>
      </c>
      <c r="AL102" s="44">
        <f t="shared" si="95"/>
        <v>0</v>
      </c>
      <c r="AM102" s="12"/>
    </row>
    <row r="103" spans="2:40" x14ac:dyDescent="0.15">
      <c r="B103" t="s">
        <v>168</v>
      </c>
      <c r="C103" s="42">
        <f>+(857/((2.39+23.61*G103)*G102/(G102+7.08+15.75*G103))+(8667/G118))/(1-0.143)</f>
        <v>166.77584941940742</v>
      </c>
      <c r="D103">
        <v>175</v>
      </c>
      <c r="F103" t="s">
        <v>169</v>
      </c>
      <c r="G103">
        <v>0.251</v>
      </c>
      <c r="S103" s="2"/>
      <c r="U103" s="2"/>
      <c r="V103">
        <f t="shared" si="86"/>
        <v>0</v>
      </c>
      <c r="W103">
        <f t="shared" si="87"/>
        <v>0</v>
      </c>
      <c r="X103">
        <f t="shared" si="88"/>
        <v>0</v>
      </c>
      <c r="Y103">
        <f t="shared" si="89"/>
        <v>0</v>
      </c>
      <c r="Z103">
        <f t="shared" si="90"/>
        <v>0</v>
      </c>
      <c r="AA103" s="10" t="e">
        <f t="shared" si="91"/>
        <v>#DIV/0!</v>
      </c>
      <c r="AB103" s="10"/>
      <c r="AC103" s="10"/>
      <c r="AD103" s="10">
        <f t="shared" si="92"/>
        <v>0</v>
      </c>
      <c r="AE103" s="10">
        <f t="shared" si="93"/>
        <v>0</v>
      </c>
      <c r="AF103" s="11"/>
      <c r="AH103" s="6" t="e">
        <f t="shared" si="94"/>
        <v>#DIV/0!</v>
      </c>
      <c r="AI103" s="6" t="e">
        <f t="shared" si="84"/>
        <v>#DIV/0!</v>
      </c>
      <c r="AJ103" s="6" t="e">
        <f t="shared" si="85"/>
        <v>#DIV/0!</v>
      </c>
      <c r="AK103" s="5" t="e">
        <f>+(AJ103)/AD$3</f>
        <v>#DIV/0!</v>
      </c>
      <c r="AL103" s="44">
        <f t="shared" si="95"/>
        <v>0</v>
      </c>
      <c r="AM103" s="12"/>
    </row>
    <row r="104" spans="2:40" x14ac:dyDescent="0.15">
      <c r="B104" t="s">
        <v>170</v>
      </c>
      <c r="C104" s="42">
        <f>+(857*(6.27+(16.72+155.4*G104)/G105)/(11.94+111*G103+0.096*G105)+(8667/G117))/(1-0.143)</f>
        <v>225.83802342127561</v>
      </c>
      <c r="D104">
        <v>226</v>
      </c>
      <c r="F104" t="s">
        <v>171</v>
      </c>
      <c r="G104" s="5">
        <v>0.17399999999999999</v>
      </c>
      <c r="K104" s="2"/>
      <c r="L104" s="2" t="s">
        <v>87</v>
      </c>
      <c r="M104" s="2"/>
      <c r="S104" s="2"/>
      <c r="V104">
        <f t="shared" si="86"/>
        <v>0</v>
      </c>
      <c r="W104">
        <f t="shared" si="87"/>
        <v>0</v>
      </c>
      <c r="X104">
        <f t="shared" si="88"/>
        <v>0</v>
      </c>
      <c r="Y104">
        <f t="shared" si="89"/>
        <v>0</v>
      </c>
      <c r="Z104">
        <f t="shared" si="90"/>
        <v>0</v>
      </c>
      <c r="AA104" s="10" t="e">
        <f t="shared" si="91"/>
        <v>#DIV/0!</v>
      </c>
      <c r="AD104" s="10">
        <f t="shared" si="92"/>
        <v>0</v>
      </c>
      <c r="AE104" s="10">
        <f t="shared" si="93"/>
        <v>0</v>
      </c>
      <c r="AH104" s="6" t="e">
        <f t="shared" si="94"/>
        <v>#DIV/0!</v>
      </c>
      <c r="AI104" s="6" t="e">
        <f t="shared" si="84"/>
        <v>#DIV/0!</v>
      </c>
      <c r="AJ104" s="6" t="e">
        <f t="shared" si="85"/>
        <v>#DIV/0!</v>
      </c>
      <c r="AK104" s="5" t="e">
        <f>+(AJ104)/AD$3</f>
        <v>#DIV/0!</v>
      </c>
      <c r="AL104" s="44">
        <f t="shared" si="95"/>
        <v>0</v>
      </c>
      <c r="AM104" s="12"/>
    </row>
    <row r="105" spans="2:40" x14ac:dyDescent="0.15">
      <c r="B105" t="s">
        <v>130</v>
      </c>
      <c r="C105" s="45">
        <f>+(857/((4586+45214*G103)*G102/(11721+1586*G102+12057*G103+G113*G102))+(8667/G118))/(1-0.143)</f>
        <v>188.70273019929883</v>
      </c>
      <c r="D105">
        <v>200</v>
      </c>
      <c r="F105" t="s">
        <v>172</v>
      </c>
      <c r="G105">
        <v>14.6</v>
      </c>
      <c r="K105" s="2" t="s">
        <v>88</v>
      </c>
      <c r="L105" s="2" t="s">
        <v>89</v>
      </c>
      <c r="M105" s="2" t="s">
        <v>90</v>
      </c>
      <c r="N105" t="s">
        <v>91</v>
      </c>
      <c r="S105" s="2"/>
      <c r="V105">
        <f t="shared" si="86"/>
        <v>0</v>
      </c>
      <c r="W105">
        <f t="shared" si="87"/>
        <v>0</v>
      </c>
      <c r="X105">
        <f t="shared" si="88"/>
        <v>0</v>
      </c>
      <c r="Y105">
        <f t="shared" si="89"/>
        <v>0</v>
      </c>
      <c r="Z105">
        <f t="shared" si="90"/>
        <v>0</v>
      </c>
      <c r="AA105" s="10" t="e">
        <f t="shared" si="91"/>
        <v>#DIV/0!</v>
      </c>
      <c r="AB105" s="10">
        <f>+Z105*$W$3</f>
        <v>0</v>
      </c>
      <c r="AD105" s="10"/>
      <c r="AE105" s="10">
        <f t="shared" si="93"/>
        <v>0</v>
      </c>
      <c r="AH105" s="6" t="e">
        <f t="shared" si="94"/>
        <v>#DIV/0!</v>
      </c>
      <c r="AI105" s="6" t="e">
        <f>+AH105+$AB$7</f>
        <v>#DIV/0!</v>
      </c>
      <c r="AJ105" s="6" t="e">
        <f>+$C$27-AI105</f>
        <v>#DIV/0!</v>
      </c>
      <c r="AK105" s="5" t="e">
        <f>+(AJ105)/$C$27</f>
        <v>#DIV/0!</v>
      </c>
      <c r="AL105" s="44">
        <f t="shared" si="95"/>
        <v>0</v>
      </c>
      <c r="AM105" s="12"/>
    </row>
    <row r="106" spans="2:40" x14ac:dyDescent="0.15">
      <c r="B106" t="s">
        <v>131</v>
      </c>
      <c r="C106" s="47">
        <f>+((3234*(0.55+27*G103/G108)/(G109*134.4))+(8667/G118))/(1-0.143)</f>
        <v>88.443760997164077</v>
      </c>
      <c r="D106">
        <v>95</v>
      </c>
      <c r="K106" s="6">
        <f>+C102+C104+C109+C110+C111+C40+C47</f>
        <v>523.77241721001565</v>
      </c>
      <c r="L106" s="6">
        <f>+C124+C126+C131+C132+C133+C40+C47</f>
        <v>523.77241721001565</v>
      </c>
      <c r="M106" s="6" t="e">
        <f>+C147+C149+C154+C155+C156+C40+C47</f>
        <v>#VALUE!</v>
      </c>
      <c r="N106" s="6">
        <f>+(L106*0.75)+(L114*0.25)</f>
        <v>507.91691507532818</v>
      </c>
      <c r="S106" s="2"/>
      <c r="V106">
        <f t="shared" si="86"/>
        <v>0</v>
      </c>
      <c r="W106">
        <f t="shared" si="87"/>
        <v>0</v>
      </c>
      <c r="X106">
        <f t="shared" si="88"/>
        <v>0</v>
      </c>
      <c r="Y106">
        <f t="shared" si="89"/>
        <v>0</v>
      </c>
      <c r="Z106">
        <f t="shared" si="90"/>
        <v>0</v>
      </c>
      <c r="AA106" s="10" t="e">
        <f t="shared" si="91"/>
        <v>#DIV/0!</v>
      </c>
      <c r="AD106" s="10">
        <f t="shared" si="92"/>
        <v>0</v>
      </c>
      <c r="AE106" s="10">
        <f t="shared" si="93"/>
        <v>0</v>
      </c>
      <c r="AH106" s="6" t="e">
        <f t="shared" si="94"/>
        <v>#DIV/0!</v>
      </c>
      <c r="AI106" s="6" t="e">
        <f t="shared" si="84"/>
        <v>#DIV/0!</v>
      </c>
      <c r="AJ106" s="6" t="e">
        <f t="shared" si="85"/>
        <v>#DIV/0!</v>
      </c>
      <c r="AK106" s="5" t="e">
        <f>+(AJ106)/AD$3</f>
        <v>#DIV/0!</v>
      </c>
      <c r="AL106" s="44">
        <f t="shared" si="95"/>
        <v>0</v>
      </c>
      <c r="AM106" s="12"/>
    </row>
    <row r="107" spans="2:40" x14ac:dyDescent="0.15">
      <c r="B107" t="s">
        <v>132</v>
      </c>
      <c r="C107" s="48">
        <f>+((2297*(0.66+40.5*G109/G111)/(G109*89.6))+(8667/G118))/(1-0.143)</f>
        <v>162.41601488252576</v>
      </c>
      <c r="D107">
        <v>160</v>
      </c>
      <c r="F107" s="9" t="s">
        <v>173</v>
      </c>
      <c r="S107" s="2"/>
      <c r="V107">
        <f t="shared" si="86"/>
        <v>0</v>
      </c>
      <c r="W107">
        <f t="shared" si="87"/>
        <v>0</v>
      </c>
      <c r="X107">
        <f t="shared" si="88"/>
        <v>0</v>
      </c>
      <c r="Y107">
        <f t="shared" si="89"/>
        <v>0</v>
      </c>
      <c r="Z107">
        <f t="shared" si="90"/>
        <v>0</v>
      </c>
      <c r="AA107" s="10" t="e">
        <f t="shared" si="91"/>
        <v>#DIV/0!</v>
      </c>
      <c r="AB107" s="10">
        <f>+Z107*$W$3</f>
        <v>0</v>
      </c>
      <c r="AD107" s="10"/>
      <c r="AE107" s="10">
        <f t="shared" si="93"/>
        <v>0</v>
      </c>
      <c r="AH107" s="6" t="e">
        <f t="shared" si="94"/>
        <v>#DIV/0!</v>
      </c>
      <c r="AI107" s="6" t="e">
        <f>+AH107+$AB$7</f>
        <v>#DIV/0!</v>
      </c>
      <c r="AJ107" s="6" t="e">
        <f>+$C$27-AI107</f>
        <v>#DIV/0!</v>
      </c>
      <c r="AK107" s="5" t="e">
        <f>+(AJ107)/$C$27</f>
        <v>#DIV/0!</v>
      </c>
      <c r="AL107" s="44">
        <f t="shared" si="95"/>
        <v>0</v>
      </c>
      <c r="AM107" s="12"/>
    </row>
    <row r="108" spans="2:40" x14ac:dyDescent="0.15">
      <c r="B108" t="s">
        <v>133</v>
      </c>
      <c r="C108" s="15">
        <v>330</v>
      </c>
      <c r="D108">
        <v>330</v>
      </c>
      <c r="F108" t="s">
        <v>122</v>
      </c>
      <c r="G108">
        <v>29</v>
      </c>
      <c r="K108" s="2"/>
      <c r="L108" s="2" t="s">
        <v>92</v>
      </c>
      <c r="M108" s="2"/>
      <c r="S108" s="2"/>
      <c r="V108">
        <f t="shared" si="86"/>
        <v>0</v>
      </c>
      <c r="W108">
        <f t="shared" si="87"/>
        <v>0</v>
      </c>
      <c r="X108">
        <f t="shared" si="88"/>
        <v>0</v>
      </c>
      <c r="Y108">
        <f t="shared" si="89"/>
        <v>0</v>
      </c>
      <c r="Z108">
        <f t="shared" si="90"/>
        <v>0</v>
      </c>
      <c r="AA108" s="10" t="e">
        <f t="shared" si="91"/>
        <v>#DIV/0!</v>
      </c>
      <c r="AD108" s="10">
        <f t="shared" si="92"/>
        <v>0</v>
      </c>
      <c r="AE108" s="10">
        <f t="shared" si="93"/>
        <v>0</v>
      </c>
      <c r="AH108" s="6" t="e">
        <f t="shared" si="94"/>
        <v>#DIV/0!</v>
      </c>
      <c r="AI108" s="6" t="e">
        <f t="shared" si="84"/>
        <v>#DIV/0!</v>
      </c>
      <c r="AJ108" s="6" t="e">
        <f t="shared" si="85"/>
        <v>#DIV/0!</v>
      </c>
      <c r="AK108" s="5" t="e">
        <f>+(AJ108)/AD$3</f>
        <v>#DIV/0!</v>
      </c>
      <c r="AL108" s="44">
        <f t="shared" si="95"/>
        <v>0</v>
      </c>
      <c r="AM108" s="12"/>
    </row>
    <row r="109" spans="2:40" x14ac:dyDescent="0.15">
      <c r="B109" t="s">
        <v>174</v>
      </c>
      <c r="C109" s="49">
        <f>+( G114*68.1/4.8)/(1-0.143)</f>
        <v>33.109684947491246</v>
      </c>
      <c r="D109">
        <v>35</v>
      </c>
      <c r="F109" t="s">
        <v>169</v>
      </c>
      <c r="G109">
        <v>0.251</v>
      </c>
      <c r="K109" s="2" t="s">
        <v>93</v>
      </c>
      <c r="L109" s="2" t="s">
        <v>94</v>
      </c>
      <c r="M109" s="2" t="s">
        <v>95</v>
      </c>
      <c r="S109" s="2"/>
      <c r="V109">
        <f t="shared" si="86"/>
        <v>0</v>
      </c>
      <c r="W109">
        <f t="shared" si="87"/>
        <v>0</v>
      </c>
      <c r="X109">
        <f t="shared" si="88"/>
        <v>0</v>
      </c>
      <c r="Y109">
        <f t="shared" si="89"/>
        <v>0</v>
      </c>
      <c r="Z109">
        <f t="shared" si="90"/>
        <v>0</v>
      </c>
      <c r="AA109" s="10" t="e">
        <f t="shared" si="91"/>
        <v>#DIV/0!</v>
      </c>
      <c r="AD109" s="10">
        <f t="shared" si="92"/>
        <v>0</v>
      </c>
      <c r="AE109" s="10">
        <f t="shared" si="93"/>
        <v>0</v>
      </c>
      <c r="AH109" s="6" t="e">
        <f t="shared" si="94"/>
        <v>#DIV/0!</v>
      </c>
      <c r="AI109" s="6" t="e">
        <f t="shared" si="84"/>
        <v>#DIV/0!</v>
      </c>
      <c r="AJ109" s="6" t="e">
        <f t="shared" si="85"/>
        <v>#DIV/0!</v>
      </c>
      <c r="AK109" s="5" t="e">
        <f>+(AJ109)/AD$3</f>
        <v>#DIV/0!</v>
      </c>
      <c r="AL109" s="44">
        <f t="shared" si="95"/>
        <v>0</v>
      </c>
      <c r="AM109" s="12"/>
    </row>
    <row r="110" spans="2:40" x14ac:dyDescent="0.15">
      <c r="B110" t="s">
        <v>175</v>
      </c>
      <c r="C110" s="48">
        <f>+((G115/7.28+10)*300/291+21.29)/(1-0.143)</f>
        <v>61.658020190782516</v>
      </c>
      <c r="D110">
        <v>65</v>
      </c>
      <c r="F110" t="s">
        <v>171</v>
      </c>
      <c r="G110" s="5">
        <v>0.17399999999999999</v>
      </c>
      <c r="K110" s="6">
        <f>+C102+C106+C109+C110+C111+C40+C47</f>
        <v>386.3781547859042</v>
      </c>
      <c r="L110" s="6">
        <f>+C124+C128+C131+C132+C133+C40+C47</f>
        <v>391.30641574724206</v>
      </c>
      <c r="M110" s="6" t="e">
        <f>+C147+C151+C154+C155+C156+C40+C47</f>
        <v>#VALUE!</v>
      </c>
      <c r="S110" s="2"/>
      <c r="V110">
        <f t="shared" si="86"/>
        <v>0</v>
      </c>
      <c r="W110">
        <f t="shared" si="87"/>
        <v>0</v>
      </c>
      <c r="X110">
        <f t="shared" si="88"/>
        <v>0</v>
      </c>
      <c r="Y110">
        <f t="shared" si="89"/>
        <v>0</v>
      </c>
      <c r="Z110">
        <f t="shared" si="90"/>
        <v>0</v>
      </c>
      <c r="AA110" s="10" t="e">
        <f t="shared" si="91"/>
        <v>#DIV/0!</v>
      </c>
      <c r="AD110" s="10">
        <f t="shared" si="92"/>
        <v>0</v>
      </c>
      <c r="AE110" s="10">
        <f t="shared" si="93"/>
        <v>0</v>
      </c>
      <c r="AH110" s="6" t="e">
        <f t="shared" si="94"/>
        <v>#DIV/0!</v>
      </c>
      <c r="AI110" s="6" t="e">
        <f t="shared" si="84"/>
        <v>#DIV/0!</v>
      </c>
      <c r="AJ110" s="6" t="e">
        <f t="shared" si="85"/>
        <v>#DIV/0!</v>
      </c>
      <c r="AK110" s="5" t="e">
        <f>+(AJ110)/AD$3</f>
        <v>#DIV/0!</v>
      </c>
      <c r="AL110" s="44">
        <f t="shared" si="95"/>
        <v>0</v>
      </c>
      <c r="AM110" s="12"/>
    </row>
    <row r="111" spans="2:40" x14ac:dyDescent="0.15">
      <c r="B111" t="s">
        <v>176</v>
      </c>
      <c r="C111" s="48">
        <f>+(G116*797+6750)/G117</f>
        <v>19.089545454545455</v>
      </c>
      <c r="D111">
        <v>25</v>
      </c>
      <c r="F111" t="s">
        <v>172</v>
      </c>
      <c r="G111">
        <v>14.6</v>
      </c>
      <c r="S111" s="2"/>
      <c r="V111">
        <f t="shared" si="86"/>
        <v>0</v>
      </c>
      <c r="W111">
        <f t="shared" si="87"/>
        <v>0</v>
      </c>
      <c r="X111">
        <f t="shared" si="88"/>
        <v>0</v>
      </c>
      <c r="Y111">
        <f t="shared" si="89"/>
        <v>0</v>
      </c>
      <c r="Z111">
        <f t="shared" si="90"/>
        <v>0</v>
      </c>
      <c r="AA111" s="10" t="e">
        <f t="shared" si="91"/>
        <v>#DIV/0!</v>
      </c>
      <c r="AB111" s="10">
        <f>+Z111*$W$3</f>
        <v>0</v>
      </c>
      <c r="AD111" s="10"/>
      <c r="AE111" s="10">
        <f t="shared" si="93"/>
        <v>0</v>
      </c>
      <c r="AH111" s="6" t="e">
        <f t="shared" si="94"/>
        <v>#DIV/0!</v>
      </c>
      <c r="AI111" s="6" t="e">
        <f>+AH111+$AB$7</f>
        <v>#DIV/0!</v>
      </c>
      <c r="AJ111" s="6" t="e">
        <f>+$C$27-AI111</f>
        <v>#DIV/0!</v>
      </c>
      <c r="AK111" s="5" t="e">
        <f>+(AJ111)/$C$27</f>
        <v>#DIV/0!</v>
      </c>
      <c r="AL111" s="44">
        <f t="shared" si="95"/>
        <v>0</v>
      </c>
      <c r="AM111" s="12"/>
    </row>
    <row r="112" spans="2:40" x14ac:dyDescent="0.15">
      <c r="F112" t="s">
        <v>177</v>
      </c>
      <c r="G112">
        <v>8000</v>
      </c>
      <c r="H112" t="s">
        <v>178</v>
      </c>
      <c r="K112" s="2"/>
      <c r="L112" s="2" t="s">
        <v>96</v>
      </c>
      <c r="M112" s="2"/>
      <c r="S112" s="2"/>
      <c r="V112">
        <f t="shared" si="86"/>
        <v>0</v>
      </c>
      <c r="W112">
        <f t="shared" si="87"/>
        <v>0</v>
      </c>
      <c r="X112">
        <f t="shared" si="88"/>
        <v>0</v>
      </c>
      <c r="Y112">
        <f t="shared" si="89"/>
        <v>0</v>
      </c>
      <c r="Z112">
        <f t="shared" si="90"/>
        <v>0</v>
      </c>
      <c r="AA112" s="10" t="e">
        <f t="shared" si="91"/>
        <v>#DIV/0!</v>
      </c>
      <c r="AB112" s="10">
        <f>+Z112*$W$3</f>
        <v>0</v>
      </c>
      <c r="AD112" s="10"/>
      <c r="AE112" s="10">
        <f t="shared" si="93"/>
        <v>0</v>
      </c>
      <c r="AH112" s="6" t="e">
        <f t="shared" si="94"/>
        <v>#DIV/0!</v>
      </c>
      <c r="AI112" s="6" t="e">
        <f>+AH112+$AB$7</f>
        <v>#DIV/0!</v>
      </c>
      <c r="AJ112" s="6" t="e">
        <f>+$C$27-AI112</f>
        <v>#DIV/0!</v>
      </c>
      <c r="AK112" s="5" t="e">
        <f>+(AJ112)/$C$27</f>
        <v>#DIV/0!</v>
      </c>
      <c r="AL112" s="44">
        <f t="shared" si="95"/>
        <v>0</v>
      </c>
      <c r="AM112" s="12"/>
    </row>
    <row r="113" spans="2:40" x14ac:dyDescent="0.15">
      <c r="F113" t="s">
        <v>179</v>
      </c>
      <c r="G113">
        <v>900</v>
      </c>
      <c r="K113" s="2" t="s">
        <v>239</v>
      </c>
      <c r="L113" s="2" t="s">
        <v>97</v>
      </c>
      <c r="M113" s="2" t="s">
        <v>98</v>
      </c>
      <c r="S113" s="2"/>
      <c r="V113">
        <f t="shared" si="86"/>
        <v>0</v>
      </c>
      <c r="W113">
        <f t="shared" si="87"/>
        <v>0</v>
      </c>
      <c r="X113">
        <f t="shared" si="88"/>
        <v>0</v>
      </c>
      <c r="Y113">
        <f t="shared" si="89"/>
        <v>0</v>
      </c>
      <c r="Z113">
        <f t="shared" si="90"/>
        <v>0</v>
      </c>
      <c r="AA113" s="10" t="e">
        <f t="shared" si="91"/>
        <v>#DIV/0!</v>
      </c>
      <c r="AC113" s="10"/>
      <c r="AD113" s="10">
        <f t="shared" si="92"/>
        <v>0</v>
      </c>
      <c r="AE113" s="10">
        <f t="shared" si="93"/>
        <v>0</v>
      </c>
      <c r="AH113" s="6" t="e">
        <f t="shared" si="94"/>
        <v>#DIV/0!</v>
      </c>
      <c r="AI113" s="6" t="e">
        <f t="shared" si="84"/>
        <v>#DIV/0!</v>
      </c>
      <c r="AJ113" s="6" t="e">
        <f t="shared" si="85"/>
        <v>#DIV/0!</v>
      </c>
      <c r="AK113" s="5" t="e">
        <f>+(AJ113)/AD$3</f>
        <v>#DIV/0!</v>
      </c>
      <c r="AL113" s="44">
        <f t="shared" si="95"/>
        <v>0</v>
      </c>
      <c r="AM113" s="12"/>
    </row>
    <row r="114" spans="2:40" x14ac:dyDescent="0.15">
      <c r="F114" t="s">
        <v>0</v>
      </c>
      <c r="G114">
        <v>2</v>
      </c>
      <c r="H114" t="s">
        <v>1</v>
      </c>
      <c r="K114" s="6">
        <f>+C102++C107+C109+C110+C111+C40+C47</f>
        <v>460.35040867126582</v>
      </c>
      <c r="L114" s="6">
        <f>+C124+C129+C131+C132+C133+C40+C47</f>
        <v>460.35040867126582</v>
      </c>
      <c r="M114" s="6" t="e">
        <f>+C147+C152+C154+C155+C156+C40+C47</f>
        <v>#VALUE!</v>
      </c>
      <c r="S114" s="2"/>
      <c r="V114">
        <f t="shared" si="86"/>
        <v>0</v>
      </c>
      <c r="W114">
        <f t="shared" si="87"/>
        <v>0</v>
      </c>
      <c r="X114">
        <f t="shared" si="88"/>
        <v>0</v>
      </c>
      <c r="Y114">
        <f t="shared" si="89"/>
        <v>0</v>
      </c>
      <c r="Z114">
        <f t="shared" si="90"/>
        <v>0</v>
      </c>
      <c r="AA114" s="10" t="e">
        <f t="shared" si="91"/>
        <v>#DIV/0!</v>
      </c>
      <c r="AD114" s="10">
        <f t="shared" si="92"/>
        <v>0</v>
      </c>
      <c r="AE114" s="10">
        <f t="shared" si="93"/>
        <v>0</v>
      </c>
      <c r="AH114" s="6" t="e">
        <f t="shared" si="94"/>
        <v>#DIV/0!</v>
      </c>
      <c r="AI114" s="6" t="e">
        <f t="shared" si="84"/>
        <v>#DIV/0!</v>
      </c>
      <c r="AJ114" s="6" t="e">
        <f t="shared" si="85"/>
        <v>#DIV/0!</v>
      </c>
      <c r="AK114" s="5" t="e">
        <f>+(AJ114)/AD$3</f>
        <v>#DIV/0!</v>
      </c>
      <c r="AL114" s="44">
        <f t="shared" si="95"/>
        <v>0</v>
      </c>
      <c r="AM114" s="12"/>
    </row>
    <row r="115" spans="2:40" x14ac:dyDescent="0.15">
      <c r="F115" t="s">
        <v>2</v>
      </c>
      <c r="G115">
        <v>150</v>
      </c>
      <c r="H115" t="s">
        <v>3</v>
      </c>
      <c r="S115" s="2"/>
      <c r="V115">
        <f t="shared" si="86"/>
        <v>0</v>
      </c>
      <c r="W115">
        <f t="shared" si="87"/>
        <v>0</v>
      </c>
      <c r="X115">
        <f t="shared" si="88"/>
        <v>0</v>
      </c>
      <c r="Y115">
        <f t="shared" si="89"/>
        <v>0</v>
      </c>
      <c r="Z115">
        <f t="shared" si="90"/>
        <v>0</v>
      </c>
      <c r="AA115" s="10" t="e">
        <f t="shared" si="91"/>
        <v>#DIV/0!</v>
      </c>
      <c r="AD115" s="10">
        <f t="shared" si="92"/>
        <v>0</v>
      </c>
      <c r="AE115" s="10">
        <f t="shared" si="93"/>
        <v>0</v>
      </c>
      <c r="AH115" s="6" t="e">
        <f t="shared" si="94"/>
        <v>#DIV/0!</v>
      </c>
      <c r="AI115" s="6" t="e">
        <f t="shared" si="84"/>
        <v>#DIV/0!</v>
      </c>
      <c r="AJ115" s="6" t="e">
        <f t="shared" si="85"/>
        <v>#DIV/0!</v>
      </c>
      <c r="AK115" s="5" t="e">
        <f>+(AJ115)/AD$3</f>
        <v>#DIV/0!</v>
      </c>
      <c r="AL115" s="44">
        <f t="shared" si="95"/>
        <v>0</v>
      </c>
      <c r="AM115" s="12"/>
    </row>
    <row r="116" spans="2:40" x14ac:dyDescent="0.15">
      <c r="F116" t="s">
        <v>4</v>
      </c>
      <c r="G116">
        <v>255</v>
      </c>
      <c r="H116" t="s">
        <v>5</v>
      </c>
      <c r="L116" t="s">
        <v>99</v>
      </c>
      <c r="N116" t="s">
        <v>99</v>
      </c>
      <c r="S116" s="2"/>
      <c r="V116">
        <f t="shared" si="86"/>
        <v>0</v>
      </c>
      <c r="W116">
        <f t="shared" si="87"/>
        <v>0</v>
      </c>
      <c r="X116">
        <f t="shared" si="88"/>
        <v>0</v>
      </c>
      <c r="Y116">
        <f t="shared" si="89"/>
        <v>0</v>
      </c>
      <c r="Z116">
        <f>SUM(W116:Y116)</f>
        <v>0</v>
      </c>
      <c r="AA116" s="10" t="e">
        <f t="shared" si="91"/>
        <v>#DIV/0!</v>
      </c>
      <c r="AB116" s="10">
        <f>+Z116*$W$3</f>
        <v>0</v>
      </c>
      <c r="AE116" s="10">
        <f t="shared" si="93"/>
        <v>0</v>
      </c>
      <c r="AH116" s="6" t="e">
        <f t="shared" si="94"/>
        <v>#DIV/0!</v>
      </c>
      <c r="AI116" s="6" t="e">
        <f>+AH116+$AB$7</f>
        <v>#DIV/0!</v>
      </c>
      <c r="AJ116" s="6" t="e">
        <f>+$C$27-AI116</f>
        <v>#DIV/0!</v>
      </c>
      <c r="AK116" s="5" t="e">
        <f>+(AJ116)/$C$27</f>
        <v>#DIV/0!</v>
      </c>
      <c r="AL116" s="44">
        <f t="shared" si="95"/>
        <v>0</v>
      </c>
      <c r="AM116" s="12"/>
    </row>
    <row r="117" spans="2:40" x14ac:dyDescent="0.15">
      <c r="F117" t="s">
        <v>6</v>
      </c>
      <c r="G117">
        <v>11000</v>
      </c>
      <c r="H117" t="s">
        <v>7</v>
      </c>
      <c r="K117" s="6">
        <f>+C102+C108+C109+C110+C111+C40+C47</f>
        <v>627.93439378874007</v>
      </c>
      <c r="L117" s="6">
        <v>571</v>
      </c>
      <c r="M117" s="6">
        <v>571</v>
      </c>
      <c r="N117" s="6">
        <v>571</v>
      </c>
    </row>
    <row r="118" spans="2:40" x14ac:dyDescent="0.15">
      <c r="F118" t="s">
        <v>8</v>
      </c>
      <c r="G118">
        <v>13000</v>
      </c>
      <c r="H118" t="s">
        <v>9</v>
      </c>
    </row>
    <row r="119" spans="2:40" x14ac:dyDescent="0.15">
      <c r="S119" s="31">
        <f t="shared" ref="S119:Z119" si="96">SUM(S97:S117)</f>
        <v>0</v>
      </c>
      <c r="T119" s="31">
        <f t="shared" si="96"/>
        <v>0</v>
      </c>
      <c r="U119" s="31">
        <f t="shared" si="96"/>
        <v>0</v>
      </c>
      <c r="V119" s="31">
        <f t="shared" si="96"/>
        <v>0</v>
      </c>
      <c r="W119" s="31">
        <f t="shared" si="96"/>
        <v>0</v>
      </c>
      <c r="X119" s="31">
        <f t="shared" si="96"/>
        <v>0</v>
      </c>
      <c r="Y119" s="31">
        <f t="shared" si="96"/>
        <v>0</v>
      </c>
      <c r="Z119" s="31">
        <f t="shared" si="96"/>
        <v>0</v>
      </c>
      <c r="AA119" s="10"/>
      <c r="AB119" s="31">
        <f t="shared" ref="AB119:AG119" si="97">SUM(AB97:AB117)</f>
        <v>0</v>
      </c>
      <c r="AC119" s="31">
        <f t="shared" si="97"/>
        <v>0</v>
      </c>
      <c r="AD119" s="31">
        <f t="shared" si="97"/>
        <v>0</v>
      </c>
      <c r="AE119" s="31">
        <f t="shared" si="97"/>
        <v>0</v>
      </c>
      <c r="AF119" s="31">
        <f t="shared" si="97"/>
        <v>0</v>
      </c>
      <c r="AG119" s="31">
        <f t="shared" si="97"/>
        <v>0</v>
      </c>
      <c r="AH119" s="6"/>
      <c r="AI119" s="6"/>
      <c r="AJ119" s="6"/>
      <c r="AK119" s="5"/>
      <c r="AL119" s="6">
        <f>SUM(AL97:AL117)</f>
        <v>0</v>
      </c>
      <c r="AM119" s="6">
        <f>SUM(AM97:AM117)</f>
        <v>0</v>
      </c>
    </row>
    <row r="120" spans="2:40" x14ac:dyDescent="0.15">
      <c r="B120" s="9" t="s">
        <v>153</v>
      </c>
      <c r="C120" t="s">
        <v>100</v>
      </c>
      <c r="F120" s="9" t="s">
        <v>154</v>
      </c>
      <c r="AA120" s="10"/>
      <c r="AD120" s="10"/>
      <c r="AE120" s="10"/>
      <c r="AH120" s="6"/>
      <c r="AI120" s="6"/>
      <c r="AJ120" s="6"/>
      <c r="AK120" s="5"/>
      <c r="AL120" s="44"/>
      <c r="AM120" s="44"/>
    </row>
    <row r="121" spans="2:40" x14ac:dyDescent="0.15">
      <c r="V121">
        <f t="shared" ref="V121:V127" si="98">SUM(S121:U121)</f>
        <v>0</v>
      </c>
      <c r="W121">
        <f t="shared" ref="W121:W138" si="99">+S121*$S$7</f>
        <v>0</v>
      </c>
      <c r="X121">
        <f t="shared" ref="X121:X138" si="100">+T121*$T$7</f>
        <v>0</v>
      </c>
      <c r="Y121">
        <f t="shared" ref="Y121:Y138" si="101">+U121*$U$7</f>
        <v>0</v>
      </c>
      <c r="Z121">
        <f>SUM(W121:Y121)</f>
        <v>0</v>
      </c>
      <c r="AA121" s="10" t="e">
        <f t="shared" ref="AA121:AA138" si="102">+AE121/V121</f>
        <v>#DIV/0!</v>
      </c>
      <c r="AB121" s="10">
        <f>+Z121</f>
        <v>0</v>
      </c>
      <c r="AD121" s="10"/>
      <c r="AE121" s="10">
        <f t="shared" ref="AE121:AE127" si="103">SUM(AB121:AD121)</f>
        <v>0</v>
      </c>
      <c r="AH121" s="6" t="e">
        <f t="shared" ref="AH121:AH138" si="104">+AF121*$C$42/AE121</f>
        <v>#DIV/0!</v>
      </c>
      <c r="AI121" s="6" t="e">
        <f>+AH121+$AB$7</f>
        <v>#DIV/0!</v>
      </c>
      <c r="AJ121" s="6" t="e">
        <f>+$C$27-AI121</f>
        <v>#DIV/0!</v>
      </c>
      <c r="AK121" s="5" t="e">
        <f>+(AJ121)/$C$27</f>
        <v>#DIV/0!</v>
      </c>
      <c r="AL121" s="44">
        <f t="shared" ref="AL121:AL138" si="105">+AF121*$C$42</f>
        <v>0</v>
      </c>
      <c r="AM121" s="12"/>
    </row>
    <row r="122" spans="2:40" x14ac:dyDescent="0.15">
      <c r="C122" s="2" t="s">
        <v>101</v>
      </c>
      <c r="D122" s="2" t="s">
        <v>155</v>
      </c>
      <c r="F122" s="9" t="s">
        <v>156</v>
      </c>
      <c r="V122">
        <f t="shared" si="98"/>
        <v>0</v>
      </c>
      <c r="W122">
        <f t="shared" si="99"/>
        <v>0</v>
      </c>
      <c r="X122">
        <f t="shared" si="100"/>
        <v>0</v>
      </c>
      <c r="Y122">
        <f t="shared" si="101"/>
        <v>0</v>
      </c>
      <c r="Z122">
        <f>SUM(W122:Y122)</f>
        <v>0</v>
      </c>
      <c r="AA122" s="10" t="e">
        <f t="shared" si="102"/>
        <v>#DIV/0!</v>
      </c>
      <c r="AB122" s="10"/>
      <c r="AD122" s="10">
        <f>+Z122*$V$3</f>
        <v>0</v>
      </c>
      <c r="AE122" s="10">
        <f t="shared" si="103"/>
        <v>0</v>
      </c>
      <c r="AH122" s="6" t="e">
        <f t="shared" si="104"/>
        <v>#DIV/0!</v>
      </c>
      <c r="AI122" s="6" t="e">
        <f>+AH122+$AD$7</f>
        <v>#DIV/0!</v>
      </c>
      <c r="AJ122" s="6" t="e">
        <f>+$AD$3-AI122</f>
        <v>#DIV/0!</v>
      </c>
      <c r="AK122" s="5" t="e">
        <f>+(AJ122)/AD$3</f>
        <v>#DIV/0!</v>
      </c>
      <c r="AL122" s="44">
        <f t="shared" si="105"/>
        <v>0</v>
      </c>
      <c r="AM122" s="12"/>
    </row>
    <row r="123" spans="2:40" x14ac:dyDescent="0.15">
      <c r="V123">
        <f t="shared" si="98"/>
        <v>0</v>
      </c>
      <c r="W123">
        <f t="shared" si="99"/>
        <v>0</v>
      </c>
      <c r="X123">
        <f t="shared" si="100"/>
        <v>0</v>
      </c>
      <c r="Y123">
        <f t="shared" si="101"/>
        <v>0</v>
      </c>
      <c r="Z123">
        <f t="shared" ref="Z123:Z138" si="106">SUM(W123:Y123)</f>
        <v>0</v>
      </c>
      <c r="AA123" s="10" t="e">
        <f t="shared" si="102"/>
        <v>#DIV/0!</v>
      </c>
      <c r="AB123" s="10"/>
      <c r="AD123" s="10">
        <f>+Z123*$V$3</f>
        <v>0</v>
      </c>
      <c r="AE123" s="10">
        <f t="shared" si="103"/>
        <v>0</v>
      </c>
      <c r="AH123" s="6" t="e">
        <f t="shared" si="104"/>
        <v>#DIV/0!</v>
      </c>
      <c r="AI123" s="6" t="e">
        <f>+AH123+$AD$7</f>
        <v>#DIV/0!</v>
      </c>
      <c r="AJ123" s="6" t="e">
        <f>+$AD$3-AI123</f>
        <v>#DIV/0!</v>
      </c>
      <c r="AK123" s="5" t="e">
        <f>+(AJ123)/AD$3</f>
        <v>#DIV/0!</v>
      </c>
      <c r="AL123" s="44">
        <f t="shared" si="105"/>
        <v>0</v>
      </c>
      <c r="AM123" s="12"/>
    </row>
    <row r="124" spans="2:40" x14ac:dyDescent="0.15">
      <c r="B124" t="s">
        <v>125</v>
      </c>
      <c r="C124" s="6">
        <f>31.7/(1-G126)</f>
        <v>38.377723970944309</v>
      </c>
      <c r="D124">
        <v>40</v>
      </c>
      <c r="F124" t="s">
        <v>122</v>
      </c>
      <c r="G124">
        <v>24.4</v>
      </c>
      <c r="V124">
        <f t="shared" si="98"/>
        <v>0</v>
      </c>
      <c r="W124">
        <f t="shared" si="99"/>
        <v>0</v>
      </c>
      <c r="X124">
        <f t="shared" si="100"/>
        <v>0</v>
      </c>
      <c r="Y124">
        <f t="shared" si="101"/>
        <v>0</v>
      </c>
      <c r="Z124">
        <f t="shared" si="106"/>
        <v>0</v>
      </c>
      <c r="AA124" s="10" t="e">
        <f t="shared" si="102"/>
        <v>#DIV/0!</v>
      </c>
      <c r="AB124" s="10">
        <f>+Z124</f>
        <v>0</v>
      </c>
      <c r="AD124" s="10"/>
      <c r="AE124" s="10">
        <f t="shared" si="103"/>
        <v>0</v>
      </c>
      <c r="AH124" s="6" t="e">
        <f t="shared" si="104"/>
        <v>#DIV/0!</v>
      </c>
      <c r="AI124" s="6" t="e">
        <f>+AH124+$AB$7</f>
        <v>#DIV/0!</v>
      </c>
      <c r="AJ124" s="6" t="e">
        <f>+$C$27-AI124</f>
        <v>#DIV/0!</v>
      </c>
      <c r="AK124" s="5" t="e">
        <f>+(AJ124)/$C$27</f>
        <v>#DIV/0!</v>
      </c>
      <c r="AL124" s="44">
        <f t="shared" si="105"/>
        <v>0</v>
      </c>
      <c r="AM124" s="12"/>
      <c r="AN124" s="19"/>
    </row>
    <row r="125" spans="2:40" x14ac:dyDescent="0.15">
      <c r="B125" t="s">
        <v>168</v>
      </c>
      <c r="C125" s="42">
        <f>+(857/((2.39+23.61*G125)*G124/(G124+7.08+15.75*G125))+(8667/G140))/(1-0.143)</f>
        <v>175.40073298846264</v>
      </c>
      <c r="D125">
        <v>175</v>
      </c>
      <c r="F125" t="s">
        <v>169</v>
      </c>
      <c r="G125">
        <v>0.251</v>
      </c>
      <c r="V125">
        <f t="shared" si="98"/>
        <v>0</v>
      </c>
      <c r="W125">
        <f t="shared" si="99"/>
        <v>0</v>
      </c>
      <c r="X125">
        <f t="shared" si="100"/>
        <v>0</v>
      </c>
      <c r="Y125">
        <f t="shared" si="101"/>
        <v>0</v>
      </c>
      <c r="Z125">
        <f t="shared" si="106"/>
        <v>0</v>
      </c>
      <c r="AA125" s="10" t="e">
        <f t="shared" si="102"/>
        <v>#DIV/0!</v>
      </c>
      <c r="AB125" s="10">
        <f>+Z125</f>
        <v>0</v>
      </c>
      <c r="AD125" s="10"/>
      <c r="AE125" s="10">
        <f t="shared" si="103"/>
        <v>0</v>
      </c>
      <c r="AH125" s="6" t="e">
        <f t="shared" si="104"/>
        <v>#DIV/0!</v>
      </c>
      <c r="AI125" s="6" t="e">
        <f>+AH125+$AB$7</f>
        <v>#DIV/0!</v>
      </c>
      <c r="AJ125" s="6" t="e">
        <f>+$C$27-AI125</f>
        <v>#DIV/0!</v>
      </c>
      <c r="AK125" s="5" t="e">
        <f>+(AJ125)/$C$27</f>
        <v>#DIV/0!</v>
      </c>
      <c r="AL125" s="44">
        <f t="shared" si="105"/>
        <v>0</v>
      </c>
      <c r="AM125" s="12"/>
      <c r="AN125" s="19"/>
    </row>
    <row r="126" spans="2:40" x14ac:dyDescent="0.15">
      <c r="B126" t="s">
        <v>170</v>
      </c>
      <c r="C126" s="42">
        <f>+(857*(6.27+(16.72+155.4*G126)/G127)/(11.94+111*G125+0.096*G127)+(8667/G139))/(1-0.143)</f>
        <v>225.83802342127561</v>
      </c>
      <c r="D126">
        <v>226</v>
      </c>
      <c r="F126" t="s">
        <v>171</v>
      </c>
      <c r="G126" s="5">
        <v>0.17399999999999999</v>
      </c>
      <c r="V126">
        <f t="shared" si="98"/>
        <v>0</v>
      </c>
      <c r="W126">
        <f t="shared" si="99"/>
        <v>0</v>
      </c>
      <c r="X126">
        <f t="shared" si="100"/>
        <v>0</v>
      </c>
      <c r="Y126">
        <f t="shared" si="101"/>
        <v>0</v>
      </c>
      <c r="Z126">
        <f t="shared" si="106"/>
        <v>0</v>
      </c>
      <c r="AA126" s="10" t="e">
        <f t="shared" si="102"/>
        <v>#DIV/0!</v>
      </c>
      <c r="AB126" s="10"/>
      <c r="AD126" s="10">
        <f>+Z126*$V$3</f>
        <v>0</v>
      </c>
      <c r="AE126" s="10">
        <f t="shared" si="103"/>
        <v>0</v>
      </c>
      <c r="AH126" s="6" t="e">
        <f t="shared" si="104"/>
        <v>#DIV/0!</v>
      </c>
      <c r="AI126" s="6" t="e">
        <f>+AH126+$AD$7</f>
        <v>#DIV/0!</v>
      </c>
      <c r="AJ126" s="6" t="e">
        <f>+$AD$3-AI126</f>
        <v>#DIV/0!</v>
      </c>
      <c r="AK126" s="5" t="e">
        <f>+(AJ126)/AD$3</f>
        <v>#DIV/0!</v>
      </c>
      <c r="AL126" s="44">
        <f t="shared" si="105"/>
        <v>0</v>
      </c>
      <c r="AM126" s="12"/>
      <c r="AN126" s="19"/>
    </row>
    <row r="127" spans="2:40" x14ac:dyDescent="0.15">
      <c r="B127" t="s">
        <v>130</v>
      </c>
      <c r="C127" s="45">
        <f>+(857/((4586+45214*G125)*G124/(11721+1586*G124+12057*G125+G135*G124))+(8667/G140))/(1-0.143)</f>
        <v>194.71915448420569</v>
      </c>
      <c r="D127">
        <v>200</v>
      </c>
      <c r="F127" t="s">
        <v>172</v>
      </c>
      <c r="G127">
        <v>14.6</v>
      </c>
      <c r="V127">
        <f t="shared" si="98"/>
        <v>0</v>
      </c>
      <c r="W127">
        <f t="shared" si="99"/>
        <v>0</v>
      </c>
      <c r="X127">
        <f t="shared" si="100"/>
        <v>0</v>
      </c>
      <c r="Y127">
        <f t="shared" si="101"/>
        <v>0</v>
      </c>
      <c r="Z127">
        <f t="shared" si="106"/>
        <v>0</v>
      </c>
      <c r="AA127" s="10" t="e">
        <f t="shared" si="102"/>
        <v>#DIV/0!</v>
      </c>
      <c r="AB127" s="10"/>
      <c r="AD127" s="10">
        <f>+Z127*$V$3</f>
        <v>0</v>
      </c>
      <c r="AE127" s="10">
        <f t="shared" si="103"/>
        <v>0</v>
      </c>
      <c r="AH127" s="6" t="e">
        <f t="shared" si="104"/>
        <v>#DIV/0!</v>
      </c>
      <c r="AI127" s="6" t="e">
        <f>+AH127+$AD$7</f>
        <v>#DIV/0!</v>
      </c>
      <c r="AJ127" s="6" t="e">
        <f>+$AD$3-AI127</f>
        <v>#DIV/0!</v>
      </c>
      <c r="AK127" s="5" t="e">
        <f>+(AJ127)/AD$3</f>
        <v>#DIV/0!</v>
      </c>
      <c r="AL127" s="44">
        <f t="shared" si="105"/>
        <v>0</v>
      </c>
      <c r="AM127" s="12"/>
    </row>
    <row r="128" spans="2:40" x14ac:dyDescent="0.15">
      <c r="B128" t="s">
        <v>131</v>
      </c>
      <c r="C128" s="47">
        <f>+((3234*(0.55+27*G125/G130)/(G131*134.4))+(8667/G140))/(1-0.143)</f>
        <v>93.372021958502003</v>
      </c>
      <c r="D128">
        <v>95</v>
      </c>
      <c r="V128">
        <f t="shared" ref="V128:V138" si="107">SUM(S128:U128)</f>
        <v>0</v>
      </c>
      <c r="W128">
        <f t="shared" si="99"/>
        <v>0</v>
      </c>
      <c r="X128">
        <f t="shared" si="100"/>
        <v>0</v>
      </c>
      <c r="Y128">
        <f t="shared" si="101"/>
        <v>0</v>
      </c>
      <c r="Z128">
        <f t="shared" si="106"/>
        <v>0</v>
      </c>
      <c r="AA128" s="10" t="e">
        <f t="shared" si="102"/>
        <v>#DIV/0!</v>
      </c>
      <c r="AB128" s="10"/>
      <c r="AD128" s="10">
        <f>+Z128*$V$3</f>
        <v>0</v>
      </c>
      <c r="AE128" s="10">
        <f t="shared" ref="AE128:AE138" si="108">SUM(AB128:AD128)</f>
        <v>0</v>
      </c>
      <c r="AH128" s="6" t="e">
        <f t="shared" si="104"/>
        <v>#DIV/0!</v>
      </c>
      <c r="AI128" s="6" t="e">
        <f>+AH128+$AD$7</f>
        <v>#DIV/0!</v>
      </c>
      <c r="AJ128" s="6" t="e">
        <f>+$AD$3-AI128</f>
        <v>#DIV/0!</v>
      </c>
      <c r="AK128" s="5" t="e">
        <f>+(AJ128)/AD$3</f>
        <v>#DIV/0!</v>
      </c>
      <c r="AL128" s="44">
        <f t="shared" si="105"/>
        <v>0</v>
      </c>
      <c r="AM128" s="12"/>
    </row>
    <row r="129" spans="2:40" x14ac:dyDescent="0.15">
      <c r="B129" t="s">
        <v>132</v>
      </c>
      <c r="C129" s="48">
        <f>+((2297*(0.66+40.5*G131/G133)/(G131*89.6))+(8667/G140))/(1-0.143)</f>
        <v>162.41601488252576</v>
      </c>
      <c r="D129">
        <v>160</v>
      </c>
      <c r="F129" s="9" t="s">
        <v>173</v>
      </c>
      <c r="V129">
        <f t="shared" si="107"/>
        <v>0</v>
      </c>
      <c r="W129">
        <f t="shared" si="99"/>
        <v>0</v>
      </c>
      <c r="X129">
        <f t="shared" si="100"/>
        <v>0</v>
      </c>
      <c r="Y129">
        <f t="shared" si="101"/>
        <v>0</v>
      </c>
      <c r="Z129">
        <f t="shared" si="106"/>
        <v>0</v>
      </c>
      <c r="AA129" s="10" t="e">
        <f t="shared" si="102"/>
        <v>#DIV/0!</v>
      </c>
      <c r="AB129" s="10"/>
      <c r="AD129" s="10">
        <f>+Z129*$V$3</f>
        <v>0</v>
      </c>
      <c r="AE129" s="10">
        <f t="shared" si="108"/>
        <v>0</v>
      </c>
      <c r="AH129" s="6" t="e">
        <f t="shared" si="104"/>
        <v>#DIV/0!</v>
      </c>
      <c r="AI129" s="6" t="e">
        <f>+AH129+$AD$7</f>
        <v>#DIV/0!</v>
      </c>
      <c r="AJ129" s="6" t="e">
        <f>+$AD$3-AI129</f>
        <v>#DIV/0!</v>
      </c>
      <c r="AK129" s="5" t="e">
        <f>+(AJ129)/AD$3</f>
        <v>#DIV/0!</v>
      </c>
      <c r="AL129" s="44">
        <f t="shared" si="105"/>
        <v>0</v>
      </c>
      <c r="AM129" s="12"/>
    </row>
    <row r="130" spans="2:40" x14ac:dyDescent="0.15">
      <c r="B130" t="s">
        <v>133</v>
      </c>
      <c r="C130" s="15">
        <v>330</v>
      </c>
      <c r="D130">
        <v>330</v>
      </c>
      <c r="F130" t="s">
        <v>122</v>
      </c>
      <c r="G130">
        <v>24.4</v>
      </c>
      <c r="V130">
        <f t="shared" si="107"/>
        <v>0</v>
      </c>
      <c r="W130">
        <f t="shared" si="99"/>
        <v>0</v>
      </c>
      <c r="X130">
        <f t="shared" si="100"/>
        <v>0</v>
      </c>
      <c r="Y130">
        <f t="shared" si="101"/>
        <v>0</v>
      </c>
      <c r="Z130">
        <f t="shared" si="106"/>
        <v>0</v>
      </c>
      <c r="AA130" s="10" t="e">
        <f t="shared" si="102"/>
        <v>#DIV/0!</v>
      </c>
      <c r="AB130" s="10"/>
      <c r="AD130" s="10">
        <f>+Z130*$V$3</f>
        <v>0</v>
      </c>
      <c r="AE130" s="10">
        <f t="shared" si="108"/>
        <v>0</v>
      </c>
      <c r="AH130" s="6" t="e">
        <f t="shared" si="104"/>
        <v>#DIV/0!</v>
      </c>
      <c r="AI130" s="6" t="e">
        <f>+AH130+$AD$7</f>
        <v>#DIV/0!</v>
      </c>
      <c r="AJ130" s="6" t="e">
        <f>+$AD$3-AI130</f>
        <v>#DIV/0!</v>
      </c>
      <c r="AK130" s="5" t="e">
        <f>+(AJ130)/AD$3</f>
        <v>#DIV/0!</v>
      </c>
      <c r="AL130" s="44">
        <f t="shared" si="105"/>
        <v>0</v>
      </c>
      <c r="AM130" s="12"/>
    </row>
    <row r="131" spans="2:40" x14ac:dyDescent="0.15">
      <c r="B131" t="s">
        <v>174</v>
      </c>
      <c r="C131" s="49">
        <f>+( G136*68.1/4.8)/(1-0.143)</f>
        <v>33.109684947491246</v>
      </c>
      <c r="D131">
        <v>35</v>
      </c>
      <c r="F131" t="s">
        <v>169</v>
      </c>
      <c r="G131">
        <v>0.251</v>
      </c>
      <c r="V131">
        <f t="shared" si="107"/>
        <v>0</v>
      </c>
      <c r="W131">
        <f t="shared" si="99"/>
        <v>0</v>
      </c>
      <c r="X131">
        <f t="shared" si="100"/>
        <v>0</v>
      </c>
      <c r="Y131">
        <f t="shared" si="101"/>
        <v>0</v>
      </c>
      <c r="Z131">
        <f t="shared" si="106"/>
        <v>0</v>
      </c>
      <c r="AA131" s="10" t="e">
        <f t="shared" si="102"/>
        <v>#DIV/0!</v>
      </c>
      <c r="AB131" s="10">
        <f t="shared" ref="AB131:AB138" si="109">+Z131</f>
        <v>0</v>
      </c>
      <c r="AE131" s="10">
        <f t="shared" si="108"/>
        <v>0</v>
      </c>
      <c r="AH131" s="6" t="e">
        <f t="shared" si="104"/>
        <v>#DIV/0!</v>
      </c>
      <c r="AI131" s="6" t="e">
        <f t="shared" ref="AI131:AI138" si="110">+AH131+$AB$7</f>
        <v>#DIV/0!</v>
      </c>
      <c r="AJ131" s="6" t="e">
        <f t="shared" ref="AJ131:AJ138" si="111">+$C$27-AI131</f>
        <v>#DIV/0!</v>
      </c>
      <c r="AK131" s="5" t="e">
        <f t="shared" ref="AK131:AK138" si="112">+(AJ131)/$C$27</f>
        <v>#DIV/0!</v>
      </c>
      <c r="AL131" s="44">
        <f t="shared" si="105"/>
        <v>0</v>
      </c>
      <c r="AM131" s="12"/>
    </row>
    <row r="132" spans="2:40" x14ac:dyDescent="0.15">
      <c r="B132" t="s">
        <v>175</v>
      </c>
      <c r="C132" s="48">
        <f>+((G137/7.28+10)*300/291+21.29)/(1-0.143)</f>
        <v>61.658020190782516</v>
      </c>
      <c r="D132">
        <v>65</v>
      </c>
      <c r="F132" t="s">
        <v>171</v>
      </c>
      <c r="G132" s="5">
        <v>0.17399999999999999</v>
      </c>
      <c r="V132">
        <f t="shared" si="107"/>
        <v>0</v>
      </c>
      <c r="W132">
        <f t="shared" si="99"/>
        <v>0</v>
      </c>
      <c r="X132">
        <f t="shared" si="100"/>
        <v>0</v>
      </c>
      <c r="Y132">
        <f t="shared" si="101"/>
        <v>0</v>
      </c>
      <c r="Z132">
        <f t="shared" si="106"/>
        <v>0</v>
      </c>
      <c r="AA132" s="10" t="e">
        <f t="shared" si="102"/>
        <v>#DIV/0!</v>
      </c>
      <c r="AB132" s="10">
        <f t="shared" si="109"/>
        <v>0</v>
      </c>
      <c r="AD132" s="10"/>
      <c r="AE132" s="10">
        <f t="shared" si="108"/>
        <v>0</v>
      </c>
      <c r="AH132" s="6" t="e">
        <f t="shared" si="104"/>
        <v>#DIV/0!</v>
      </c>
      <c r="AI132" s="6" t="e">
        <f t="shared" si="110"/>
        <v>#DIV/0!</v>
      </c>
      <c r="AJ132" s="6" t="e">
        <f t="shared" si="111"/>
        <v>#DIV/0!</v>
      </c>
      <c r="AK132" s="5" t="e">
        <f t="shared" si="112"/>
        <v>#DIV/0!</v>
      </c>
      <c r="AL132" s="44">
        <f t="shared" si="105"/>
        <v>0</v>
      </c>
      <c r="AM132" s="12"/>
    </row>
    <row r="133" spans="2:40" x14ac:dyDescent="0.15">
      <c r="B133" t="s">
        <v>176</v>
      </c>
      <c r="C133" s="48">
        <f>+(G138*797+6750)/G139</f>
        <v>19.089545454545455</v>
      </c>
      <c r="D133">
        <v>25</v>
      </c>
      <c r="F133" t="s">
        <v>172</v>
      </c>
      <c r="G133">
        <v>14.6</v>
      </c>
      <c r="R133" s="31"/>
      <c r="V133">
        <f t="shared" si="107"/>
        <v>0</v>
      </c>
      <c r="W133">
        <f t="shared" si="99"/>
        <v>0</v>
      </c>
      <c r="X133">
        <f t="shared" si="100"/>
        <v>0</v>
      </c>
      <c r="Y133">
        <f t="shared" si="101"/>
        <v>0</v>
      </c>
      <c r="Z133">
        <f t="shared" si="106"/>
        <v>0</v>
      </c>
      <c r="AA133" s="10" t="e">
        <f t="shared" si="102"/>
        <v>#DIV/0!</v>
      </c>
      <c r="AB133" s="10">
        <f t="shared" si="109"/>
        <v>0</v>
      </c>
      <c r="AE133" s="10">
        <f t="shared" si="108"/>
        <v>0</v>
      </c>
      <c r="AH133" s="6" t="e">
        <f t="shared" si="104"/>
        <v>#DIV/0!</v>
      </c>
      <c r="AI133" s="6" t="e">
        <f t="shared" si="110"/>
        <v>#DIV/0!</v>
      </c>
      <c r="AJ133" s="6" t="e">
        <f t="shared" si="111"/>
        <v>#DIV/0!</v>
      </c>
      <c r="AK133" s="5" t="e">
        <f t="shared" si="112"/>
        <v>#DIV/0!</v>
      </c>
      <c r="AL133" s="44">
        <f t="shared" si="105"/>
        <v>0</v>
      </c>
      <c r="AM133" s="12"/>
    </row>
    <row r="134" spans="2:40" x14ac:dyDescent="0.15">
      <c r="F134" t="s">
        <v>177</v>
      </c>
      <c r="G134">
        <v>8000</v>
      </c>
      <c r="H134" t="s">
        <v>178</v>
      </c>
      <c r="V134">
        <f t="shared" si="107"/>
        <v>0</v>
      </c>
      <c r="W134">
        <f t="shared" si="99"/>
        <v>0</v>
      </c>
      <c r="X134">
        <f t="shared" si="100"/>
        <v>0</v>
      </c>
      <c r="Y134">
        <f t="shared" si="101"/>
        <v>0</v>
      </c>
      <c r="Z134">
        <f t="shared" si="106"/>
        <v>0</v>
      </c>
      <c r="AA134" s="10" t="e">
        <f t="shared" si="102"/>
        <v>#DIV/0!</v>
      </c>
      <c r="AB134" s="10">
        <f t="shared" si="109"/>
        <v>0</v>
      </c>
      <c r="AE134" s="10">
        <f t="shared" si="108"/>
        <v>0</v>
      </c>
      <c r="AH134" s="6" t="e">
        <f t="shared" si="104"/>
        <v>#DIV/0!</v>
      </c>
      <c r="AI134" s="6" t="e">
        <f t="shared" si="110"/>
        <v>#DIV/0!</v>
      </c>
      <c r="AJ134" s="6" t="e">
        <f t="shared" si="111"/>
        <v>#DIV/0!</v>
      </c>
      <c r="AK134" s="5" t="e">
        <f t="shared" si="112"/>
        <v>#DIV/0!</v>
      </c>
      <c r="AL134" s="44">
        <f t="shared" si="105"/>
        <v>0</v>
      </c>
      <c r="AM134" s="12"/>
    </row>
    <row r="135" spans="2:40" x14ac:dyDescent="0.15">
      <c r="F135" t="s">
        <v>179</v>
      </c>
      <c r="G135">
        <v>900</v>
      </c>
      <c r="V135">
        <f t="shared" si="107"/>
        <v>0</v>
      </c>
      <c r="W135">
        <f t="shared" si="99"/>
        <v>0</v>
      </c>
      <c r="X135">
        <f t="shared" si="100"/>
        <v>0</v>
      </c>
      <c r="Y135">
        <f t="shared" si="101"/>
        <v>0</v>
      </c>
      <c r="Z135">
        <f t="shared" si="106"/>
        <v>0</v>
      </c>
      <c r="AA135" s="10" t="e">
        <f t="shared" si="102"/>
        <v>#DIV/0!</v>
      </c>
      <c r="AB135" s="10">
        <f t="shared" si="109"/>
        <v>0</v>
      </c>
      <c r="AE135" s="10">
        <f t="shared" si="108"/>
        <v>0</v>
      </c>
      <c r="AH135" s="6" t="e">
        <f t="shared" si="104"/>
        <v>#DIV/0!</v>
      </c>
      <c r="AI135" s="6" t="e">
        <f t="shared" si="110"/>
        <v>#DIV/0!</v>
      </c>
      <c r="AJ135" s="6" t="e">
        <f t="shared" si="111"/>
        <v>#DIV/0!</v>
      </c>
      <c r="AK135" s="5" t="e">
        <f t="shared" si="112"/>
        <v>#DIV/0!</v>
      </c>
      <c r="AL135" s="44">
        <f t="shared" si="105"/>
        <v>0</v>
      </c>
      <c r="AM135" s="12"/>
    </row>
    <row r="136" spans="2:40" x14ac:dyDescent="0.15">
      <c r="F136" t="s">
        <v>0</v>
      </c>
      <c r="G136">
        <v>2</v>
      </c>
      <c r="H136" t="s">
        <v>1</v>
      </c>
      <c r="V136">
        <f t="shared" si="107"/>
        <v>0</v>
      </c>
      <c r="W136">
        <f t="shared" si="99"/>
        <v>0</v>
      </c>
      <c r="X136">
        <f t="shared" si="100"/>
        <v>0</v>
      </c>
      <c r="Y136">
        <f t="shared" si="101"/>
        <v>0</v>
      </c>
      <c r="Z136">
        <f t="shared" si="106"/>
        <v>0</v>
      </c>
      <c r="AA136" s="10" t="e">
        <f t="shared" si="102"/>
        <v>#DIV/0!</v>
      </c>
      <c r="AB136" s="10"/>
      <c r="AD136" s="10">
        <f>+Z136*$V$3</f>
        <v>0</v>
      </c>
      <c r="AE136" s="10">
        <f t="shared" si="108"/>
        <v>0</v>
      </c>
      <c r="AH136" s="6" t="e">
        <f t="shared" si="104"/>
        <v>#DIV/0!</v>
      </c>
      <c r="AI136" s="6" t="e">
        <f>+AH136+$AD$7</f>
        <v>#DIV/0!</v>
      </c>
      <c r="AJ136" s="6" t="e">
        <f>+$AD$3-AI136</f>
        <v>#DIV/0!</v>
      </c>
      <c r="AK136" s="5" t="e">
        <f>+(AJ136)/AD$3</f>
        <v>#DIV/0!</v>
      </c>
      <c r="AL136" s="44">
        <f t="shared" si="105"/>
        <v>0</v>
      </c>
      <c r="AM136" s="12"/>
      <c r="AN136" s="19"/>
    </row>
    <row r="137" spans="2:40" x14ac:dyDescent="0.15">
      <c r="F137" t="s">
        <v>2</v>
      </c>
      <c r="G137">
        <v>150</v>
      </c>
      <c r="H137" t="s">
        <v>3</v>
      </c>
      <c r="V137">
        <f t="shared" si="107"/>
        <v>0</v>
      </c>
      <c r="W137">
        <f t="shared" si="99"/>
        <v>0</v>
      </c>
      <c r="X137">
        <f t="shared" si="100"/>
        <v>0</v>
      </c>
      <c r="Y137">
        <f t="shared" si="101"/>
        <v>0</v>
      </c>
      <c r="Z137">
        <f t="shared" si="106"/>
        <v>0</v>
      </c>
      <c r="AA137" s="10" t="e">
        <f t="shared" si="102"/>
        <v>#DIV/0!</v>
      </c>
      <c r="AB137" s="10">
        <f t="shared" si="109"/>
        <v>0</v>
      </c>
      <c r="AE137" s="10">
        <f t="shared" si="108"/>
        <v>0</v>
      </c>
      <c r="AH137" s="6" t="e">
        <f t="shared" si="104"/>
        <v>#DIV/0!</v>
      </c>
      <c r="AI137" s="6" t="e">
        <f t="shared" si="110"/>
        <v>#DIV/0!</v>
      </c>
      <c r="AJ137" s="6" t="e">
        <f t="shared" si="111"/>
        <v>#DIV/0!</v>
      </c>
      <c r="AK137" s="5" t="e">
        <f t="shared" si="112"/>
        <v>#DIV/0!</v>
      </c>
      <c r="AL137" s="44">
        <f t="shared" si="105"/>
        <v>0</v>
      </c>
      <c r="AM137" s="12"/>
    </row>
    <row r="138" spans="2:40" x14ac:dyDescent="0.15">
      <c r="F138" t="s">
        <v>4</v>
      </c>
      <c r="G138">
        <v>255</v>
      </c>
      <c r="H138" t="s">
        <v>5</v>
      </c>
      <c r="V138">
        <f t="shared" si="107"/>
        <v>0</v>
      </c>
      <c r="W138">
        <f t="shared" si="99"/>
        <v>0</v>
      </c>
      <c r="X138">
        <f t="shared" si="100"/>
        <v>0</v>
      </c>
      <c r="Y138">
        <f t="shared" si="101"/>
        <v>0</v>
      </c>
      <c r="Z138">
        <f t="shared" si="106"/>
        <v>0</v>
      </c>
      <c r="AA138" s="10" t="e">
        <f t="shared" si="102"/>
        <v>#DIV/0!</v>
      </c>
      <c r="AB138" s="10">
        <f t="shared" si="109"/>
        <v>0</v>
      </c>
      <c r="AE138" s="10">
        <f t="shared" si="108"/>
        <v>0</v>
      </c>
      <c r="AH138" s="6" t="e">
        <f t="shared" si="104"/>
        <v>#DIV/0!</v>
      </c>
      <c r="AI138" s="6" t="e">
        <f t="shared" si="110"/>
        <v>#DIV/0!</v>
      </c>
      <c r="AJ138" s="6" t="e">
        <f t="shared" si="111"/>
        <v>#DIV/0!</v>
      </c>
      <c r="AK138" s="5" t="e">
        <f t="shared" si="112"/>
        <v>#DIV/0!</v>
      </c>
      <c r="AL138" s="44">
        <f t="shared" si="105"/>
        <v>0</v>
      </c>
      <c r="AM138" s="12"/>
    </row>
    <row r="139" spans="2:40" x14ac:dyDescent="0.15">
      <c r="F139" t="s">
        <v>6</v>
      </c>
      <c r="G139">
        <v>11000</v>
      </c>
      <c r="H139" t="s">
        <v>7</v>
      </c>
    </row>
    <row r="140" spans="2:40" x14ac:dyDescent="0.15">
      <c r="F140" t="s">
        <v>8</v>
      </c>
      <c r="G140">
        <v>13000</v>
      </c>
      <c r="H140" t="s">
        <v>9</v>
      </c>
      <c r="S140">
        <f>SUM(S121:S136)</f>
        <v>0</v>
      </c>
      <c r="T140">
        <f t="shared" ref="T140:Z140" si="113">SUM(T121:T136)</f>
        <v>0</v>
      </c>
      <c r="U140">
        <f t="shared" si="113"/>
        <v>0</v>
      </c>
      <c r="V140">
        <f t="shared" si="113"/>
        <v>0</v>
      </c>
      <c r="W140">
        <f t="shared" si="113"/>
        <v>0</v>
      </c>
      <c r="X140">
        <f t="shared" si="113"/>
        <v>0</v>
      </c>
      <c r="Y140">
        <f t="shared" si="113"/>
        <v>0</v>
      </c>
      <c r="Z140">
        <f t="shared" si="113"/>
        <v>0</v>
      </c>
      <c r="AB140">
        <f t="shared" ref="AB140:AG140" si="114">SUM(AB121:AB136)</f>
        <v>0</v>
      </c>
      <c r="AC140">
        <f t="shared" si="114"/>
        <v>0</v>
      </c>
      <c r="AD140">
        <f t="shared" si="114"/>
        <v>0</v>
      </c>
      <c r="AE140">
        <f t="shared" si="114"/>
        <v>0</v>
      </c>
      <c r="AF140">
        <f t="shared" si="114"/>
        <v>0</v>
      </c>
      <c r="AG140">
        <f t="shared" si="114"/>
        <v>0</v>
      </c>
      <c r="AL140" s="6">
        <f>SUM(AL121:AL136)</f>
        <v>0</v>
      </c>
      <c r="AM140" s="6">
        <f>SUM(AM121:AM136)</f>
        <v>0</v>
      </c>
    </row>
    <row r="141" spans="2:40" x14ac:dyDescent="0.15">
      <c r="AL141" s="6"/>
      <c r="AM141" s="6"/>
    </row>
    <row r="142" spans="2:40" x14ac:dyDescent="0.15">
      <c r="AA142" s="10"/>
      <c r="AB142" s="10"/>
      <c r="AD142" s="10"/>
      <c r="AE142" s="10"/>
      <c r="AH142" s="6"/>
      <c r="AI142" s="6"/>
      <c r="AJ142" s="6"/>
      <c r="AK142" s="5"/>
      <c r="AL142" s="44"/>
      <c r="AM142" s="44"/>
    </row>
    <row r="143" spans="2:40" x14ac:dyDescent="0.15">
      <c r="B143" s="9" t="s">
        <v>153</v>
      </c>
      <c r="C143" t="s">
        <v>102</v>
      </c>
      <c r="F143" s="9" t="s">
        <v>154</v>
      </c>
      <c r="S143" s="31">
        <f t="shared" ref="S143:Z143" si="115">+S140+S119+S95+S76+S49+S35+S27</f>
        <v>593</v>
      </c>
      <c r="T143" s="31">
        <f t="shared" si="115"/>
        <v>440</v>
      </c>
      <c r="U143" s="31">
        <f t="shared" si="115"/>
        <v>81</v>
      </c>
      <c r="V143" s="31">
        <f t="shared" si="115"/>
        <v>1114</v>
      </c>
      <c r="W143" s="31">
        <f t="shared" si="115"/>
        <v>17197</v>
      </c>
      <c r="X143" s="31">
        <f t="shared" si="115"/>
        <v>13536</v>
      </c>
      <c r="Y143" s="31">
        <f t="shared" si="115"/>
        <v>1377</v>
      </c>
      <c r="Z143" s="31">
        <f t="shared" si="115"/>
        <v>32110</v>
      </c>
      <c r="AA143" s="31">
        <f>+AA140+AA119+AA95+AA76+AA49</f>
        <v>0</v>
      </c>
      <c r="AB143" s="31">
        <f t="shared" ref="AB143:AG143" si="116">+AB140+AB119+AB95+AB76+AB49+AB35+AB27</f>
        <v>30154</v>
      </c>
      <c r="AC143" s="31">
        <f t="shared" si="116"/>
        <v>0</v>
      </c>
      <c r="AD143" s="31">
        <f t="shared" si="116"/>
        <v>665.04000000000008</v>
      </c>
      <c r="AE143" s="31">
        <f t="shared" si="116"/>
        <v>30819.040000000001</v>
      </c>
      <c r="AF143" s="143">
        <f t="shared" si="116"/>
        <v>3.4</v>
      </c>
      <c r="AG143" s="31">
        <f t="shared" si="116"/>
        <v>0</v>
      </c>
      <c r="AK143" s="31"/>
      <c r="AL143" s="6">
        <f>+AL140+AL119+AL95+AL76+AL49+AL35+AL27</f>
        <v>544000</v>
      </c>
      <c r="AM143" s="6">
        <f>+AM140+AM119+AM95+AM76+AM49+AM35+AM27</f>
        <v>3873935.4290713216</v>
      </c>
    </row>
    <row r="144" spans="2:40" x14ac:dyDescent="0.15">
      <c r="AC144" s="10">
        <f>+AA143/AE143</f>
        <v>0</v>
      </c>
      <c r="AD144" s="10"/>
      <c r="AE144" t="s">
        <v>103</v>
      </c>
      <c r="AF144">
        <f>+AE143/AF143</f>
        <v>9064.4235294117643</v>
      </c>
      <c r="AK144" s="31"/>
      <c r="AL144" s="44"/>
      <c r="AM144" s="44"/>
    </row>
    <row r="145" spans="1:39" x14ac:dyDescent="0.15">
      <c r="C145" s="2" t="s">
        <v>104</v>
      </c>
      <c r="D145" s="2" t="s">
        <v>155</v>
      </c>
      <c r="F145" s="9" t="s">
        <v>156</v>
      </c>
      <c r="T145" s="31">
        <f>SUM(S143:U143)</f>
        <v>1114</v>
      </c>
      <c r="AA145" s="10"/>
      <c r="AB145" s="10"/>
      <c r="AE145" s="10"/>
      <c r="AH145" s="6"/>
      <c r="AI145" s="6"/>
      <c r="AJ145" s="6"/>
      <c r="AK145" s="5"/>
      <c r="AL145" s="44"/>
      <c r="AM145" s="44"/>
    </row>
    <row r="146" spans="1:39" x14ac:dyDescent="0.15">
      <c r="AA146" s="10"/>
      <c r="AB146" s="10"/>
      <c r="AE146" s="10"/>
      <c r="AH146" s="6"/>
      <c r="AI146" s="6"/>
      <c r="AJ146" s="6"/>
      <c r="AK146" s="5"/>
      <c r="AL146" s="44"/>
      <c r="AM146" s="44"/>
    </row>
    <row r="147" spans="1:39" x14ac:dyDescent="0.15">
      <c r="B147" t="s">
        <v>125</v>
      </c>
      <c r="C147" s="6">
        <f>31.7/(1-G149)</f>
        <v>31.7</v>
      </c>
      <c r="D147">
        <v>40</v>
      </c>
      <c r="F147" t="s">
        <v>122</v>
      </c>
      <c r="G147">
        <v>17</v>
      </c>
    </row>
    <row r="152" spans="1:39" x14ac:dyDescent="0.15">
      <c r="C152" t="s">
        <v>10</v>
      </c>
      <c r="D152">
        <v>2010</v>
      </c>
    </row>
    <row r="154" spans="1:39" x14ac:dyDescent="0.15">
      <c r="C154" s="39">
        <v>40847</v>
      </c>
      <c r="D154" s="2">
        <v>2010</v>
      </c>
      <c r="E154" s="2"/>
      <c r="F154" s="2"/>
      <c r="G154" s="2"/>
    </row>
    <row r="155" spans="1:39" x14ac:dyDescent="0.15">
      <c r="C155" s="39" t="s">
        <v>105</v>
      </c>
      <c r="D155" s="2" t="s">
        <v>106</v>
      </c>
      <c r="E155" s="2"/>
      <c r="F155" s="2"/>
      <c r="G155" s="2"/>
    </row>
    <row r="156" spans="1:39" x14ac:dyDescent="0.15">
      <c r="B156" s="10">
        <v>2010</v>
      </c>
      <c r="C156" s="2" t="s">
        <v>164</v>
      </c>
      <c r="D156" s="2" t="s">
        <v>165</v>
      </c>
      <c r="E156" s="2" t="s">
        <v>166</v>
      </c>
      <c r="F156" s="2" t="s">
        <v>167</v>
      </c>
      <c r="G156" s="2" t="s">
        <v>62</v>
      </c>
      <c r="H156" s="2" t="s">
        <v>107</v>
      </c>
      <c r="I156" s="2" t="s">
        <v>108</v>
      </c>
      <c r="J156" s="2" t="s">
        <v>109</v>
      </c>
      <c r="K156" s="2" t="s">
        <v>110</v>
      </c>
      <c r="L156" s="2" t="s">
        <v>111</v>
      </c>
      <c r="M156" s="2" t="s">
        <v>112</v>
      </c>
    </row>
    <row r="158" spans="1:39" x14ac:dyDescent="0.15">
      <c r="A158" s="14" t="s">
        <v>64</v>
      </c>
      <c r="B158" s="6">
        <v>1023</v>
      </c>
      <c r="C158" s="59">
        <v>1.04</v>
      </c>
      <c r="D158" s="6">
        <f>+C158*B158</f>
        <v>1063.92</v>
      </c>
      <c r="E158" s="6">
        <v>244</v>
      </c>
      <c r="F158" s="5">
        <v>0.2</v>
      </c>
      <c r="G158" s="6">
        <f>+D158-E158</f>
        <v>819.92000000000007</v>
      </c>
      <c r="H158" s="6">
        <f>+I158*G158</f>
        <v>163.98400000000004</v>
      </c>
      <c r="I158" s="4">
        <v>0.2</v>
      </c>
      <c r="J158" s="4">
        <v>0.2</v>
      </c>
      <c r="K158" s="7">
        <f>+J158*G158</f>
        <v>163.98400000000004</v>
      </c>
      <c r="L158" s="6">
        <f>+D158*J158</f>
        <v>212.78400000000002</v>
      </c>
      <c r="M158" s="6">
        <f>+D158*I158</f>
        <v>212.78400000000002</v>
      </c>
    </row>
    <row r="159" spans="1:39" x14ac:dyDescent="0.15">
      <c r="A159" s="14" t="s">
        <v>65</v>
      </c>
      <c r="B159" s="6">
        <v>511</v>
      </c>
      <c r="C159" s="59">
        <v>1.01</v>
      </c>
      <c r="D159" s="6">
        <f t="shared" ref="D159:D166" si="117">+C159*B159</f>
        <v>516.11</v>
      </c>
      <c r="E159" s="6">
        <v>325</v>
      </c>
      <c r="F159" s="5">
        <v>0.2</v>
      </c>
      <c r="G159" s="6">
        <f t="shared" ref="G159:G166" si="118">+D159-E159</f>
        <v>191.11</v>
      </c>
      <c r="H159" s="6">
        <f t="shared" ref="H159:H166" si="119">+I159*G159</f>
        <v>9.5555000000000003</v>
      </c>
      <c r="I159" s="4">
        <v>0.05</v>
      </c>
      <c r="J159" s="4">
        <v>0.55000000000000004</v>
      </c>
      <c r="K159" s="7">
        <f t="shared" ref="K159:K164" si="120">+J159*G159</f>
        <v>105.11050000000002</v>
      </c>
      <c r="L159" s="6">
        <f t="shared" ref="L159:L166" si="121">+D159*J159</f>
        <v>283.86050000000006</v>
      </c>
      <c r="M159" s="6">
        <f t="shared" ref="M159:M166" si="122">+D159*I159</f>
        <v>25.805500000000002</v>
      </c>
    </row>
    <row r="160" spans="1:39" x14ac:dyDescent="0.15">
      <c r="A160" s="14" t="s">
        <v>66</v>
      </c>
      <c r="B160" s="6">
        <v>691</v>
      </c>
      <c r="C160" s="59">
        <v>1.01</v>
      </c>
      <c r="D160" s="6">
        <f t="shared" si="117"/>
        <v>697.91</v>
      </c>
      <c r="E160" s="6">
        <v>398</v>
      </c>
      <c r="F160" s="5">
        <v>0.2</v>
      </c>
      <c r="G160" s="6">
        <f t="shared" si="118"/>
        <v>299.90999999999997</v>
      </c>
      <c r="H160" s="6">
        <f t="shared" si="119"/>
        <v>44.986499999999992</v>
      </c>
      <c r="I160" s="4">
        <v>0.15</v>
      </c>
      <c r="J160" s="4">
        <v>0.15</v>
      </c>
      <c r="K160" s="7">
        <f t="shared" si="120"/>
        <v>44.986499999999992</v>
      </c>
      <c r="L160" s="6">
        <f t="shared" si="121"/>
        <v>104.6865</v>
      </c>
      <c r="M160" s="6">
        <f t="shared" si="122"/>
        <v>104.6865</v>
      </c>
    </row>
    <row r="161" spans="1:13" x14ac:dyDescent="0.15">
      <c r="A161" s="14" t="s">
        <v>67</v>
      </c>
      <c r="B161" s="6">
        <v>654</v>
      </c>
      <c r="C161" s="59">
        <v>1.1599999999999999</v>
      </c>
      <c r="D161" s="6">
        <f t="shared" si="117"/>
        <v>758.64</v>
      </c>
      <c r="E161" s="6">
        <v>94</v>
      </c>
      <c r="F161" s="5">
        <v>0.18</v>
      </c>
      <c r="G161" s="6">
        <f t="shared" si="118"/>
        <v>664.64</v>
      </c>
      <c r="H161" s="6">
        <f t="shared" si="119"/>
        <v>0</v>
      </c>
      <c r="I161" s="4"/>
      <c r="J161" s="4"/>
      <c r="K161" s="7">
        <f t="shared" si="120"/>
        <v>0</v>
      </c>
      <c r="L161" s="6">
        <f t="shared" si="121"/>
        <v>0</v>
      </c>
      <c r="M161" s="6">
        <f t="shared" si="122"/>
        <v>0</v>
      </c>
    </row>
    <row r="162" spans="1:13" x14ac:dyDescent="0.15">
      <c r="A162" s="20" t="s">
        <v>68</v>
      </c>
      <c r="B162" s="6">
        <v>837</v>
      </c>
      <c r="C162" s="59">
        <v>1.08</v>
      </c>
      <c r="D162" s="6">
        <f t="shared" si="117"/>
        <v>903.96</v>
      </c>
      <c r="E162" s="6">
        <v>94</v>
      </c>
      <c r="F162" s="5">
        <v>0.18</v>
      </c>
      <c r="G162" s="6">
        <f t="shared" si="118"/>
        <v>809.96</v>
      </c>
      <c r="H162" s="6">
        <f t="shared" si="119"/>
        <v>80.996000000000009</v>
      </c>
      <c r="I162" s="4">
        <v>0.1</v>
      </c>
      <c r="J162" s="4">
        <v>0.1</v>
      </c>
      <c r="K162" s="7">
        <f t="shared" si="120"/>
        <v>80.996000000000009</v>
      </c>
      <c r="L162" s="6">
        <f t="shared" si="121"/>
        <v>90.396000000000015</v>
      </c>
      <c r="M162" s="6">
        <f t="shared" si="122"/>
        <v>90.396000000000015</v>
      </c>
    </row>
    <row r="163" spans="1:13" x14ac:dyDescent="0.15">
      <c r="A163" s="20" t="s">
        <v>69</v>
      </c>
      <c r="B163" s="6">
        <v>575</v>
      </c>
      <c r="C163" s="59">
        <v>1.04</v>
      </c>
      <c r="D163" s="6">
        <f t="shared" si="117"/>
        <v>598</v>
      </c>
      <c r="E163" s="6">
        <v>110</v>
      </c>
      <c r="F163" s="5">
        <v>0.18</v>
      </c>
      <c r="G163" s="6">
        <f t="shared" si="118"/>
        <v>488</v>
      </c>
      <c r="H163" s="6">
        <f t="shared" si="119"/>
        <v>0</v>
      </c>
      <c r="I163" s="4"/>
      <c r="J163" s="4"/>
      <c r="K163" s="7">
        <f t="shared" si="120"/>
        <v>0</v>
      </c>
      <c r="L163" s="6">
        <f t="shared" si="121"/>
        <v>0</v>
      </c>
      <c r="M163" s="6">
        <f t="shared" si="122"/>
        <v>0</v>
      </c>
    </row>
    <row r="164" spans="1:13" x14ac:dyDescent="0.15">
      <c r="A164" s="20" t="s">
        <v>70</v>
      </c>
      <c r="B164" s="6">
        <v>489</v>
      </c>
      <c r="C164" s="59">
        <v>1.06</v>
      </c>
      <c r="D164" s="6">
        <f t="shared" si="117"/>
        <v>518.34</v>
      </c>
      <c r="E164" s="6">
        <v>110</v>
      </c>
      <c r="F164" s="5">
        <v>0.18</v>
      </c>
      <c r="G164" s="6">
        <f t="shared" si="118"/>
        <v>408.34000000000003</v>
      </c>
      <c r="H164" s="6">
        <f t="shared" si="119"/>
        <v>0</v>
      </c>
      <c r="I164" s="4"/>
      <c r="J164" s="4"/>
      <c r="K164" s="7">
        <f t="shared" si="120"/>
        <v>0</v>
      </c>
      <c r="L164" s="6">
        <f t="shared" si="121"/>
        <v>0</v>
      </c>
      <c r="M164" s="6">
        <f t="shared" si="122"/>
        <v>0</v>
      </c>
    </row>
    <row r="165" spans="1:13" x14ac:dyDescent="0.15">
      <c r="A165" s="20" t="s">
        <v>113</v>
      </c>
      <c r="B165" s="6">
        <v>605</v>
      </c>
      <c r="C165" s="59">
        <v>1.04</v>
      </c>
      <c r="D165" s="6">
        <f t="shared" si="117"/>
        <v>629.20000000000005</v>
      </c>
      <c r="E165" s="6">
        <v>110</v>
      </c>
      <c r="F165" s="5">
        <v>0.18</v>
      </c>
      <c r="G165" s="6">
        <f t="shared" si="118"/>
        <v>519.20000000000005</v>
      </c>
      <c r="H165" s="6">
        <f t="shared" si="119"/>
        <v>0</v>
      </c>
      <c r="I165" s="4"/>
      <c r="J165" s="4"/>
      <c r="K165" s="6"/>
      <c r="L165" s="6">
        <f t="shared" si="121"/>
        <v>0</v>
      </c>
      <c r="M165" s="6">
        <f t="shared" si="122"/>
        <v>0</v>
      </c>
    </row>
    <row r="166" spans="1:13" x14ac:dyDescent="0.15">
      <c r="A166" s="20" t="s">
        <v>114</v>
      </c>
      <c r="B166" s="6">
        <v>473</v>
      </c>
      <c r="C166" s="59">
        <v>1.05</v>
      </c>
      <c r="D166" s="6">
        <f t="shared" si="117"/>
        <v>496.65000000000003</v>
      </c>
      <c r="E166" s="6">
        <v>110</v>
      </c>
      <c r="F166" s="5">
        <v>0.18</v>
      </c>
      <c r="G166" s="6">
        <f t="shared" si="118"/>
        <v>386.65000000000003</v>
      </c>
      <c r="H166" s="6">
        <f t="shared" si="119"/>
        <v>193.32500000000002</v>
      </c>
      <c r="I166" s="4">
        <v>0.5</v>
      </c>
      <c r="K166" s="4"/>
      <c r="L166" s="6">
        <f t="shared" si="121"/>
        <v>0</v>
      </c>
      <c r="M166" s="6">
        <f t="shared" si="122"/>
        <v>248.32500000000002</v>
      </c>
    </row>
    <row r="167" spans="1:13" x14ac:dyDescent="0.15">
      <c r="A167" s="20"/>
      <c r="B167" s="6"/>
      <c r="C167" s="59"/>
      <c r="D167" s="6"/>
      <c r="E167" s="6"/>
      <c r="F167" s="5"/>
      <c r="G167" s="6"/>
      <c r="H167" s="6"/>
      <c r="I167" s="4"/>
      <c r="K167" s="4"/>
      <c r="M167" s="6"/>
    </row>
    <row r="168" spans="1:13" x14ac:dyDescent="0.15">
      <c r="A168" s="20" t="s">
        <v>115</v>
      </c>
      <c r="H168" s="6">
        <f>SUM(H158:H166)</f>
        <v>492.84700000000009</v>
      </c>
      <c r="I168" s="4">
        <f>SUM(I158:I166)</f>
        <v>1</v>
      </c>
      <c r="J168" s="4">
        <f>SUM(J158:J166)</f>
        <v>1</v>
      </c>
      <c r="K168" s="6">
        <f>SUM(K158:K166)</f>
        <v>395.077</v>
      </c>
      <c r="L168" s="6">
        <f>SUM(L158:L167)</f>
        <v>691.72700000000009</v>
      </c>
      <c r="M168" s="6">
        <f>SUM(M158:M166)</f>
        <v>681.99700000000007</v>
      </c>
    </row>
    <row r="169" spans="1:13" x14ac:dyDescent="0.15">
      <c r="A169" s="20"/>
      <c r="H169" s="6"/>
      <c r="I169" s="4"/>
      <c r="J169" s="4"/>
      <c r="K169" s="6"/>
      <c r="L169" s="6"/>
      <c r="M169" s="6"/>
    </row>
    <row r="170" spans="1:13" x14ac:dyDescent="0.15">
      <c r="A170" s="20"/>
      <c r="H170" s="6"/>
      <c r="I170" s="4"/>
      <c r="J170" s="4"/>
      <c r="K170" s="6"/>
      <c r="L170" s="6"/>
      <c r="M170" s="6"/>
    </row>
    <row r="171" spans="1:13" x14ac:dyDescent="0.15">
      <c r="A171" s="20"/>
      <c r="H171" s="6"/>
      <c r="I171" s="4"/>
      <c r="J171" s="4"/>
      <c r="K171" s="6"/>
      <c r="L171" s="6"/>
      <c r="M171" s="6"/>
    </row>
    <row r="172" spans="1:13" x14ac:dyDescent="0.15">
      <c r="A172" s="20"/>
      <c r="H172" s="6"/>
      <c r="I172" s="4"/>
      <c r="J172" s="4"/>
      <c r="K172" s="6"/>
      <c r="L172" s="6"/>
      <c r="M172" s="6"/>
    </row>
    <row r="173" spans="1:13" x14ac:dyDescent="0.15">
      <c r="A173" s="20"/>
      <c r="H173" s="6"/>
      <c r="I173" s="4"/>
      <c r="J173" s="4"/>
      <c r="K173" s="6"/>
      <c r="L173" s="6"/>
      <c r="M173" s="6"/>
    </row>
    <row r="176" spans="1:13" x14ac:dyDescent="0.15">
      <c r="B176" s="9" t="s">
        <v>153</v>
      </c>
      <c r="F176" s="9" t="s">
        <v>154</v>
      </c>
      <c r="K176" t="s">
        <v>116</v>
      </c>
    </row>
    <row r="177" spans="2:17" x14ac:dyDescent="0.15">
      <c r="Q177" t="s">
        <v>117</v>
      </c>
    </row>
    <row r="178" spans="2:17" x14ac:dyDescent="0.15">
      <c r="C178" s="2" t="s">
        <v>118</v>
      </c>
      <c r="D178" s="2" t="s">
        <v>155</v>
      </c>
      <c r="F178" s="9" t="s">
        <v>156</v>
      </c>
      <c r="J178" s="2" t="s">
        <v>119</v>
      </c>
      <c r="K178" s="2" t="s">
        <v>120</v>
      </c>
      <c r="L178" s="2" t="s">
        <v>201</v>
      </c>
      <c r="M178" s="2" t="s">
        <v>202</v>
      </c>
      <c r="N178" s="2" t="s">
        <v>203</v>
      </c>
      <c r="O178" s="2" t="s">
        <v>204</v>
      </c>
      <c r="P178" s="2" t="s">
        <v>205</v>
      </c>
      <c r="Q178" s="2" t="s">
        <v>206</v>
      </c>
    </row>
    <row r="179" spans="2:17" x14ac:dyDescent="0.15">
      <c r="K179" s="2"/>
      <c r="L179" s="2"/>
    </row>
    <row r="180" spans="2:17" x14ac:dyDescent="0.15">
      <c r="B180" t="s">
        <v>125</v>
      </c>
      <c r="C180" s="6">
        <f>40.4/(1-G201/100)</f>
        <v>54.891304347826086</v>
      </c>
      <c r="F180" t="s">
        <v>207</v>
      </c>
      <c r="G180">
        <v>34</v>
      </c>
      <c r="J180" s="4">
        <v>1</v>
      </c>
      <c r="K180" s="6">
        <v>52.771739130434788</v>
      </c>
      <c r="L180" s="6">
        <f>+J180*K180</f>
        <v>52.771739130434788</v>
      </c>
      <c r="O180" s="6">
        <f>+C180+C182+C187+C188+C189+C40</f>
        <v>430.94674143842826</v>
      </c>
      <c r="P180" s="6">
        <f>+C180+D186+C187+C188+C189+C40</f>
        <v>526.85094965032113</v>
      </c>
      <c r="Q180" s="6">
        <f>+C180+C181+C187+C188+C189+C40</f>
        <v>378.0874149434315</v>
      </c>
    </row>
    <row r="181" spans="2:17" x14ac:dyDescent="0.15">
      <c r="B181" t="s">
        <v>168</v>
      </c>
      <c r="C181" s="42">
        <f>+(975/((2.39+23.61*G181)*G180/(G180+7.08+15.75*G181))+(13000/G196))/(1-0.144)</f>
        <v>181.23646529311029</v>
      </c>
      <c r="F181" t="s">
        <v>169</v>
      </c>
      <c r="G181">
        <v>0.254</v>
      </c>
      <c r="J181" s="4">
        <v>0.7</v>
      </c>
      <c r="K181" s="6">
        <v>156.85799574314728</v>
      </c>
      <c r="L181" s="6">
        <f t="shared" ref="L181:L189" si="123">+J181*K181</f>
        <v>109.8005970202031</v>
      </c>
    </row>
    <row r="182" spans="2:17" x14ac:dyDescent="0.15">
      <c r="B182" t="s">
        <v>170</v>
      </c>
      <c r="C182" s="42">
        <f>+(975*(6.27+(16.72+155.4*G182)/G183)/(11.94+111*G181+0.096*G183)+(13000/G195))/(1-0.144)</f>
        <v>234.09579178810708</v>
      </c>
      <c r="F182" t="s">
        <v>171</v>
      </c>
      <c r="G182" s="5">
        <v>0.14000000000000001</v>
      </c>
      <c r="J182" s="4"/>
      <c r="K182" s="6">
        <v>205.93129000104912</v>
      </c>
      <c r="L182" s="6">
        <f t="shared" si="123"/>
        <v>0</v>
      </c>
    </row>
    <row r="183" spans="2:17" x14ac:dyDescent="0.15">
      <c r="B183" t="s">
        <v>130</v>
      </c>
      <c r="C183" s="45">
        <f>+(975/((4586+45214*G181)*G180/(11721+1586*G180+12057*G181+G191*G180))+(13000/G196))/(1-0.144)</f>
        <v>208.18635803209253</v>
      </c>
      <c r="F183" t="s">
        <v>172</v>
      </c>
      <c r="G183">
        <v>17</v>
      </c>
      <c r="J183" s="4"/>
      <c r="K183" s="6">
        <v>180.1592876190058</v>
      </c>
      <c r="L183" s="6">
        <f t="shared" si="123"/>
        <v>0</v>
      </c>
    </row>
    <row r="184" spans="2:17" x14ac:dyDescent="0.15">
      <c r="B184" t="s">
        <v>131</v>
      </c>
      <c r="C184" s="47">
        <f>+((2532*(0.55+27*G181/G186)/(G187*134.4))+(13000/G196))/(1-0.144)</f>
        <v>67.080285822859508</v>
      </c>
      <c r="J184" s="4"/>
      <c r="K184" s="6">
        <v>76.451668977901321</v>
      </c>
      <c r="L184" s="6">
        <f t="shared" si="123"/>
        <v>0</v>
      </c>
    </row>
    <row r="185" spans="2:17" x14ac:dyDescent="0.15">
      <c r="B185" t="s">
        <v>132</v>
      </c>
      <c r="C185" s="48">
        <f>+((1803*(0.66+40.5*G187/G189)/(G187*89.6))+(13000/G196))/(1-0.144)</f>
        <v>118.98597254985789</v>
      </c>
      <c r="F185" s="9" t="s">
        <v>173</v>
      </c>
      <c r="J185" s="4"/>
      <c r="K185" s="6">
        <v>136.30250238150515</v>
      </c>
      <c r="L185" s="6">
        <f t="shared" si="123"/>
        <v>0</v>
      </c>
    </row>
    <row r="186" spans="2:17" x14ac:dyDescent="0.15">
      <c r="B186" t="s">
        <v>133</v>
      </c>
      <c r="C186" s="15"/>
      <c r="D186">
        <v>330</v>
      </c>
      <c r="F186" t="s">
        <v>122</v>
      </c>
      <c r="G186">
        <v>34</v>
      </c>
      <c r="J186" s="4">
        <v>0.3</v>
      </c>
      <c r="K186" s="6">
        <v>330</v>
      </c>
      <c r="L186" s="6">
        <f t="shared" si="123"/>
        <v>99</v>
      </c>
    </row>
    <row r="187" spans="2:17" x14ac:dyDescent="0.15">
      <c r="B187" t="s">
        <v>174</v>
      </c>
      <c r="C187" s="49">
        <f>+( G192*78.8/4.7)/(1-0.144)</f>
        <v>39.172797772917079</v>
      </c>
      <c r="F187" t="s">
        <v>169</v>
      </c>
      <c r="G187">
        <v>0.251</v>
      </c>
      <c r="J187" s="4">
        <v>1</v>
      </c>
      <c r="K187" s="6">
        <v>42</v>
      </c>
      <c r="L187" s="6">
        <f t="shared" si="123"/>
        <v>42</v>
      </c>
    </row>
    <row r="188" spans="2:17" x14ac:dyDescent="0.15">
      <c r="B188" t="s">
        <v>175</v>
      </c>
      <c r="C188" s="48">
        <f>+((G193/7.28+10)*300/291+24)/(1-0.144)</f>
        <v>64.895938438668949</v>
      </c>
      <c r="F188" t="s">
        <v>171</v>
      </c>
      <c r="G188" s="5">
        <v>0.17399999999999999</v>
      </c>
      <c r="J188" s="4">
        <v>1</v>
      </c>
      <c r="K188" s="6">
        <v>65</v>
      </c>
      <c r="L188" s="6">
        <f t="shared" si="123"/>
        <v>65</v>
      </c>
    </row>
    <row r="189" spans="2:17" x14ac:dyDescent="0.15">
      <c r="B189" t="s">
        <v>176</v>
      </c>
      <c r="C189" s="48">
        <f>+(G194*740+8100)/G195</f>
        <v>17.890909090909091</v>
      </c>
      <c r="F189" t="s">
        <v>172</v>
      </c>
      <c r="G189">
        <v>17</v>
      </c>
      <c r="J189" s="4">
        <v>1</v>
      </c>
      <c r="K189" s="6">
        <v>17</v>
      </c>
      <c r="L189" s="6">
        <f t="shared" si="123"/>
        <v>17</v>
      </c>
    </row>
    <row r="190" spans="2:17" x14ac:dyDescent="0.15">
      <c r="F190" t="s">
        <v>177</v>
      </c>
      <c r="G190">
        <v>8000</v>
      </c>
      <c r="H190" t="s">
        <v>178</v>
      </c>
      <c r="J190" s="4"/>
      <c r="K190" s="6"/>
      <c r="L190" s="6"/>
    </row>
    <row r="191" spans="2:17" x14ac:dyDescent="0.15">
      <c r="B191" t="s">
        <v>208</v>
      </c>
      <c r="C191">
        <v>104</v>
      </c>
      <c r="F191" t="s">
        <v>179</v>
      </c>
      <c r="G191">
        <v>900</v>
      </c>
      <c r="J191" s="4">
        <v>0.16</v>
      </c>
      <c r="K191" s="7" t="s">
        <v>209</v>
      </c>
      <c r="L191" s="6"/>
      <c r="M191" s="6">
        <f>+M168*J191</f>
        <v>109.11952000000001</v>
      </c>
      <c r="N191" s="6">
        <f>+J191*L168</f>
        <v>110.67632000000002</v>
      </c>
    </row>
    <row r="192" spans="2:17" x14ac:dyDescent="0.15">
      <c r="B192" t="s">
        <v>210</v>
      </c>
      <c r="C192">
        <v>124</v>
      </c>
      <c r="F192" t="s">
        <v>0</v>
      </c>
      <c r="G192">
        <v>2</v>
      </c>
      <c r="H192" t="s">
        <v>1</v>
      </c>
      <c r="J192" s="4"/>
      <c r="K192" s="6"/>
    </row>
    <row r="193" spans="1:14" x14ac:dyDescent="0.15">
      <c r="F193" t="s">
        <v>2</v>
      </c>
      <c r="G193">
        <v>150</v>
      </c>
      <c r="H193" t="s">
        <v>3</v>
      </c>
      <c r="J193" s="4"/>
      <c r="K193" s="6"/>
      <c r="L193" s="6">
        <f>SUM(L180:L191)</f>
        <v>385.57233615063785</v>
      </c>
      <c r="M193" s="6">
        <f>+L193+M191</f>
        <v>494.69185615063788</v>
      </c>
      <c r="N193" s="60">
        <f>+L193+N191</f>
        <v>496.24865615063788</v>
      </c>
    </row>
    <row r="194" spans="1:14" x14ac:dyDescent="0.15">
      <c r="F194" t="s">
        <v>4</v>
      </c>
      <c r="G194">
        <v>255</v>
      </c>
      <c r="H194" t="s">
        <v>5</v>
      </c>
      <c r="K194" s="6"/>
    </row>
    <row r="195" spans="1:14" x14ac:dyDescent="0.15">
      <c r="F195" t="s">
        <v>6</v>
      </c>
      <c r="G195">
        <v>11000</v>
      </c>
      <c r="H195" t="s">
        <v>7</v>
      </c>
      <c r="K195" s="6"/>
    </row>
    <row r="196" spans="1:14" x14ac:dyDescent="0.15">
      <c r="F196" t="s">
        <v>8</v>
      </c>
      <c r="G196">
        <v>13000</v>
      </c>
      <c r="H196" t="s">
        <v>9</v>
      </c>
      <c r="K196" s="6"/>
    </row>
    <row r="197" spans="1:14" x14ac:dyDescent="0.15">
      <c r="K197" s="6"/>
    </row>
    <row r="199" spans="1:14" x14ac:dyDescent="0.15">
      <c r="F199" t="s">
        <v>211</v>
      </c>
    </row>
    <row r="201" spans="1:14" x14ac:dyDescent="0.15">
      <c r="F201" t="s">
        <v>212</v>
      </c>
      <c r="G201">
        <v>26.4</v>
      </c>
    </row>
    <row r="204" spans="1:14" x14ac:dyDescent="0.15">
      <c r="A204" s="61"/>
      <c r="B204" s="62"/>
      <c r="C204" s="63" t="s">
        <v>213</v>
      </c>
      <c r="D204" s="64"/>
      <c r="E204" s="65"/>
      <c r="F204" s="65"/>
      <c r="G204" s="64"/>
      <c r="H204" s="64"/>
    </row>
    <row r="205" spans="1:14" x14ac:dyDescent="0.15">
      <c r="A205" s="61">
        <v>40666</v>
      </c>
      <c r="B205" s="62">
        <v>2009</v>
      </c>
      <c r="C205" s="66" t="s">
        <v>214</v>
      </c>
      <c r="D205" s="67" t="s">
        <v>215</v>
      </c>
      <c r="E205" s="68"/>
      <c r="F205" s="65"/>
      <c r="G205" s="64"/>
      <c r="H205" s="64"/>
    </row>
    <row r="206" spans="1:14" x14ac:dyDescent="0.15">
      <c r="A206" s="61">
        <v>40666</v>
      </c>
      <c r="B206" s="62">
        <v>2009</v>
      </c>
      <c r="C206" s="66" t="s">
        <v>216</v>
      </c>
      <c r="D206" s="69" t="s">
        <v>217</v>
      </c>
      <c r="E206" s="68"/>
      <c r="F206" s="65"/>
      <c r="G206" s="64"/>
      <c r="H206" s="64"/>
    </row>
    <row r="207" spans="1:14" x14ac:dyDescent="0.15">
      <c r="A207" s="61">
        <v>40666</v>
      </c>
      <c r="B207" s="62">
        <v>2009</v>
      </c>
      <c r="C207" s="66" t="s">
        <v>218</v>
      </c>
      <c r="D207" s="70" t="s">
        <v>219</v>
      </c>
      <c r="E207" s="68"/>
      <c r="F207" s="65"/>
      <c r="G207" s="64"/>
      <c r="H207" s="64"/>
    </row>
    <row r="208" spans="1:14" x14ac:dyDescent="0.15">
      <c r="A208" s="61"/>
      <c r="B208" s="62"/>
      <c r="C208" s="71"/>
      <c r="D208" s="64"/>
      <c r="E208" s="65"/>
      <c r="F208" s="65"/>
      <c r="G208" s="64"/>
      <c r="H208" s="64"/>
    </row>
    <row r="209" spans="1:13" x14ac:dyDescent="0.15">
      <c r="A209" s="72" t="s">
        <v>220</v>
      </c>
      <c r="B209" s="73"/>
      <c r="C209" s="73"/>
      <c r="D209" s="73"/>
      <c r="E209" s="73"/>
      <c r="F209" s="73"/>
      <c r="G209" s="74"/>
      <c r="H209" s="74"/>
    </row>
    <row r="210" spans="1:13" x14ac:dyDescent="0.15">
      <c r="A210" s="75" t="s">
        <v>221</v>
      </c>
      <c r="B210" s="73"/>
      <c r="C210" s="73"/>
      <c r="D210" s="73"/>
      <c r="E210" s="73"/>
      <c r="F210" s="73"/>
      <c r="G210" s="74"/>
      <c r="H210" s="74"/>
    </row>
    <row r="211" spans="1:13" x14ac:dyDescent="0.15">
      <c r="A211" s="72" t="s">
        <v>79</v>
      </c>
      <c r="B211" s="73"/>
      <c r="C211" s="73"/>
      <c r="D211" s="73"/>
      <c r="E211" s="73"/>
      <c r="F211" s="73"/>
      <c r="G211" s="74"/>
      <c r="H211" s="74"/>
    </row>
    <row r="213" spans="1:13" ht="16" x14ac:dyDescent="0.2">
      <c r="A213" s="76" t="s">
        <v>80</v>
      </c>
      <c r="B213" s="77"/>
      <c r="C213" s="77"/>
      <c r="D213" s="77"/>
      <c r="E213" s="77"/>
      <c r="F213" s="78" t="s">
        <v>223</v>
      </c>
      <c r="H213" s="79" t="s">
        <v>224</v>
      </c>
      <c r="J213" s="80"/>
    </row>
    <row r="214" spans="1:13" x14ac:dyDescent="0.15">
      <c r="A214" s="77"/>
      <c r="B214" s="77"/>
      <c r="C214" s="77"/>
      <c r="D214" s="77"/>
      <c r="E214" s="77"/>
      <c r="H214" s="81" t="s">
        <v>225</v>
      </c>
      <c r="J214" s="80"/>
    </row>
    <row r="215" spans="1:13" x14ac:dyDescent="0.15">
      <c r="A215" s="77"/>
      <c r="B215" s="82"/>
      <c r="C215" s="83" t="s">
        <v>226</v>
      </c>
      <c r="H215" s="81" t="s">
        <v>227</v>
      </c>
      <c r="J215" s="80"/>
    </row>
    <row r="216" spans="1:13" x14ac:dyDescent="0.15">
      <c r="B216" s="84"/>
      <c r="C216" s="83" t="s">
        <v>228</v>
      </c>
      <c r="I216" s="85"/>
      <c r="J216" s="85"/>
    </row>
    <row r="217" spans="1:13" x14ac:dyDescent="0.15">
      <c r="B217" s="86"/>
      <c r="C217" s="83" t="s">
        <v>229</v>
      </c>
      <c r="I217" s="87"/>
      <c r="J217" s="85"/>
    </row>
    <row r="218" spans="1:13" x14ac:dyDescent="0.15">
      <c r="B218" s="88"/>
      <c r="C218" t="s">
        <v>230</v>
      </c>
      <c r="I218" s="87"/>
      <c r="J218" s="85"/>
    </row>
    <row r="219" spans="1:13" x14ac:dyDescent="0.15">
      <c r="A219" s="89"/>
      <c r="B219" s="89"/>
      <c r="C219" s="90"/>
      <c r="D219" s="91"/>
      <c r="E219" s="91"/>
      <c r="F219" s="92"/>
      <c r="G219" s="92"/>
      <c r="H219" s="92"/>
      <c r="I219" s="93"/>
      <c r="J219" s="89"/>
      <c r="K219" s="92"/>
      <c r="L219" s="92"/>
      <c r="M219" s="92"/>
    </row>
    <row r="220" spans="1:13" x14ac:dyDescent="0.15">
      <c r="A220" s="92"/>
      <c r="B220" s="94">
        <v>1.1200000000000001</v>
      </c>
      <c r="C220" s="95" t="s">
        <v>231</v>
      </c>
      <c r="D220" s="91"/>
      <c r="E220" s="91"/>
      <c r="F220" s="92"/>
      <c r="G220" s="92"/>
      <c r="H220" s="92"/>
      <c r="I220" s="93"/>
      <c r="J220" s="89"/>
      <c r="K220" s="92"/>
      <c r="L220" s="92"/>
      <c r="M220" s="92"/>
    </row>
    <row r="221" spans="1:13" x14ac:dyDescent="0.15">
      <c r="A221" s="96"/>
      <c r="B221" s="96"/>
      <c r="C221" s="96"/>
      <c r="D221" s="96"/>
      <c r="E221" s="96"/>
      <c r="F221" s="96"/>
      <c r="G221" s="96"/>
      <c r="H221" s="96"/>
      <c r="I221" s="96"/>
      <c r="J221" s="96"/>
      <c r="K221" s="96"/>
      <c r="L221" s="96"/>
    </row>
    <row r="222" spans="1:13" x14ac:dyDescent="0.15">
      <c r="A222" s="97" t="s">
        <v>232</v>
      </c>
      <c r="B222" s="98" t="s">
        <v>233</v>
      </c>
      <c r="C222" s="98" t="s">
        <v>234</v>
      </c>
      <c r="D222" s="96"/>
      <c r="E222" s="96"/>
      <c r="F222" s="96"/>
      <c r="G222" s="96"/>
      <c r="H222" s="96"/>
      <c r="I222" s="96"/>
      <c r="J222" s="96"/>
      <c r="K222" s="96"/>
    </row>
    <row r="223" spans="1:13" x14ac:dyDescent="0.15">
      <c r="A223" s="99" t="s">
        <v>235</v>
      </c>
      <c r="B223" s="100">
        <v>250</v>
      </c>
      <c r="C223" s="101">
        <v>255</v>
      </c>
      <c r="D223" s="102" t="s">
        <v>81</v>
      </c>
      <c r="E223" s="103"/>
      <c r="F223" s="104"/>
      <c r="G223" s="96"/>
      <c r="H223" s="96"/>
      <c r="I223" s="96"/>
      <c r="J223" s="96"/>
      <c r="K223" s="96"/>
    </row>
    <row r="224" spans="1:13" ht="66" x14ac:dyDescent="0.2">
      <c r="A224" s="105" t="s">
        <v>82</v>
      </c>
      <c r="B224" s="106">
        <v>103.67161650312003</v>
      </c>
      <c r="C224" s="106">
        <v>123.72900372400166</v>
      </c>
      <c r="D224" s="107" t="s">
        <v>83</v>
      </c>
      <c r="E224" s="107"/>
      <c r="F224" s="107"/>
      <c r="G224" s="96"/>
      <c r="H224" s="96"/>
      <c r="I224" s="96"/>
      <c r="J224" s="96"/>
      <c r="K224" s="96"/>
    </row>
    <row r="225" spans="1:13" x14ac:dyDescent="0.15">
      <c r="A225" s="95"/>
      <c r="B225" s="108"/>
      <c r="C225" s="108"/>
      <c r="D225" s="90"/>
      <c r="E225" s="90"/>
      <c r="F225" s="90"/>
      <c r="G225" s="90"/>
      <c r="H225" s="90"/>
      <c r="I225" s="90"/>
      <c r="J225" s="90"/>
      <c r="K225" s="90"/>
      <c r="L225" s="92"/>
      <c r="M225" s="92"/>
    </row>
    <row r="226" spans="1:13" x14ac:dyDescent="0.15">
      <c r="A226" s="96"/>
      <c r="B226" s="96"/>
      <c r="C226" s="96"/>
      <c r="D226" s="96"/>
      <c r="E226" s="96"/>
      <c r="F226" s="96"/>
      <c r="G226" s="96"/>
      <c r="H226" s="96"/>
      <c r="I226" s="96"/>
      <c r="J226" s="96"/>
      <c r="K226" s="96"/>
    </row>
    <row r="227" spans="1:13" x14ac:dyDescent="0.15">
      <c r="A227" s="97" t="s">
        <v>84</v>
      </c>
      <c r="B227" s="109"/>
      <c r="C227" s="110"/>
      <c r="D227" s="110"/>
      <c r="E227" s="111"/>
      <c r="F227" s="111"/>
      <c r="G227" s="111"/>
      <c r="H227" s="112"/>
      <c r="J227" s="91"/>
      <c r="K227" s="96"/>
    </row>
    <row r="228" spans="1:13" x14ac:dyDescent="0.15">
      <c r="A228" s="113" t="s">
        <v>236</v>
      </c>
      <c r="B228" s="114">
        <v>11</v>
      </c>
      <c r="C228" s="115" t="s">
        <v>237</v>
      </c>
      <c r="D228" s="115"/>
      <c r="E228" s="115"/>
      <c r="F228" s="115"/>
      <c r="G228" s="115"/>
      <c r="H228" s="116"/>
      <c r="I228" s="91"/>
      <c r="J228" s="96"/>
    </row>
    <row r="229" spans="1:13" x14ac:dyDescent="0.15">
      <c r="A229" s="113" t="s">
        <v>238</v>
      </c>
      <c r="B229" s="117">
        <v>500</v>
      </c>
      <c r="C229" s="118" t="s">
        <v>140</v>
      </c>
      <c r="D229" s="115"/>
      <c r="E229" s="115"/>
      <c r="F229" s="115"/>
      <c r="G229" s="115"/>
      <c r="H229" s="116"/>
      <c r="I229" s="91"/>
      <c r="J229" s="96"/>
    </row>
    <row r="230" spans="1:13" x14ac:dyDescent="0.15">
      <c r="A230" s="113" t="s">
        <v>141</v>
      </c>
      <c r="B230" s="117">
        <v>10</v>
      </c>
      <c r="C230" s="118" t="s">
        <v>142</v>
      </c>
      <c r="D230" s="118"/>
      <c r="E230" s="118"/>
      <c r="F230" s="115"/>
      <c r="G230" s="115"/>
      <c r="H230" s="116"/>
      <c r="I230" s="91"/>
      <c r="J230" s="96"/>
    </row>
    <row r="231" spans="1:13" x14ac:dyDescent="0.15">
      <c r="A231" s="113" t="s">
        <v>157</v>
      </c>
      <c r="B231" s="117">
        <v>-30</v>
      </c>
      <c r="C231" s="115" t="s">
        <v>158</v>
      </c>
      <c r="D231" s="115"/>
      <c r="E231" s="115"/>
      <c r="F231" s="115"/>
      <c r="G231" s="115"/>
      <c r="H231" s="116"/>
      <c r="I231" s="92"/>
    </row>
    <row r="232" spans="1:13" x14ac:dyDescent="0.15">
      <c r="A232" s="113" t="s">
        <v>159</v>
      </c>
      <c r="B232" s="117">
        <v>10</v>
      </c>
      <c r="C232" s="115" t="s">
        <v>160</v>
      </c>
      <c r="D232" s="115"/>
      <c r="E232" s="115"/>
      <c r="F232" s="118"/>
      <c r="G232" s="118"/>
      <c r="H232" s="119"/>
    </row>
    <row r="233" spans="1:13" x14ac:dyDescent="0.15">
      <c r="A233" s="113" t="s">
        <v>161</v>
      </c>
      <c r="B233" s="120">
        <v>30</v>
      </c>
      <c r="C233" s="96"/>
      <c r="D233" s="96"/>
      <c r="E233" s="96"/>
      <c r="F233" s="96"/>
      <c r="G233" s="96"/>
      <c r="H233" s="121"/>
    </row>
    <row r="234" spans="1:13" ht="66" x14ac:dyDescent="0.2">
      <c r="A234" s="122" t="s">
        <v>82</v>
      </c>
      <c r="B234" s="106">
        <v>224.19102782639033</v>
      </c>
      <c r="C234" s="123"/>
      <c r="D234" s="123"/>
      <c r="E234" s="123"/>
      <c r="F234" s="123"/>
      <c r="G234" s="123"/>
      <c r="H234" s="124"/>
      <c r="I234" s="96"/>
    </row>
    <row r="236" spans="1:13" x14ac:dyDescent="0.15">
      <c r="A236" s="97" t="s">
        <v>162</v>
      </c>
      <c r="B236" s="109"/>
      <c r="C236" s="125" t="s">
        <v>163</v>
      </c>
      <c r="D236" s="126"/>
      <c r="E236" s="127" t="s">
        <v>180</v>
      </c>
      <c r="F236" s="128"/>
      <c r="G236" s="128"/>
      <c r="H236" s="129"/>
      <c r="I236" s="130" t="s">
        <v>81</v>
      </c>
      <c r="J236" s="131"/>
      <c r="K236" s="132"/>
      <c r="L236" s="118"/>
      <c r="M236" s="96"/>
    </row>
    <row r="237" spans="1:13" x14ac:dyDescent="0.15">
      <c r="A237" s="133"/>
      <c r="B237" s="98" t="s">
        <v>181</v>
      </c>
      <c r="C237" s="134" t="s">
        <v>182</v>
      </c>
      <c r="D237" s="135" t="s">
        <v>183</v>
      </c>
      <c r="E237" s="136" t="s">
        <v>184</v>
      </c>
      <c r="F237" s="137" t="s">
        <v>185</v>
      </c>
      <c r="G237" s="138" t="s">
        <v>186</v>
      </c>
      <c r="H237" s="139" t="s">
        <v>187</v>
      </c>
      <c r="I237" s="132" t="s">
        <v>188</v>
      </c>
      <c r="J237" s="131"/>
      <c r="K237" s="131"/>
      <c r="L237" s="131"/>
      <c r="M237" s="96"/>
    </row>
    <row r="238" spans="1:13" x14ac:dyDescent="0.15">
      <c r="A238" s="140" t="s">
        <v>189</v>
      </c>
      <c r="B238" s="100">
        <v>0</v>
      </c>
      <c r="C238" s="100">
        <v>0</v>
      </c>
      <c r="D238" s="100">
        <v>1</v>
      </c>
      <c r="E238" s="100">
        <v>0</v>
      </c>
      <c r="F238" s="100">
        <v>0</v>
      </c>
      <c r="G238" s="100">
        <v>0</v>
      </c>
      <c r="H238" s="100">
        <v>1</v>
      </c>
      <c r="I238" s="141" t="s">
        <v>190</v>
      </c>
      <c r="J238" s="118"/>
      <c r="K238" s="118"/>
      <c r="L238" s="118"/>
      <c r="M238" s="96"/>
    </row>
    <row r="239" spans="1:13" x14ac:dyDescent="0.15">
      <c r="A239" s="142" t="s">
        <v>191</v>
      </c>
      <c r="B239" s="100">
        <v>100</v>
      </c>
      <c r="C239" s="86"/>
      <c r="D239" s="100">
        <v>90</v>
      </c>
      <c r="E239" s="86"/>
      <c r="F239" s="86"/>
      <c r="G239" s="86"/>
      <c r="H239" s="86"/>
      <c r="I239" s="130" t="s">
        <v>192</v>
      </c>
      <c r="J239" s="131"/>
      <c r="K239" s="132"/>
      <c r="L239" s="118"/>
      <c r="M239" s="96"/>
    </row>
    <row r="240" spans="1:13" x14ac:dyDescent="0.15">
      <c r="A240" s="142" t="s">
        <v>193</v>
      </c>
      <c r="B240" s="100">
        <v>150</v>
      </c>
      <c r="C240" s="100">
        <v>250</v>
      </c>
      <c r="D240" s="100">
        <v>200</v>
      </c>
      <c r="E240" s="100">
        <v>250</v>
      </c>
      <c r="F240" s="100">
        <v>250</v>
      </c>
      <c r="G240" s="100">
        <v>250</v>
      </c>
      <c r="H240" s="100">
        <v>250</v>
      </c>
      <c r="I240" s="141"/>
      <c r="J240" s="118"/>
      <c r="K240" s="118"/>
      <c r="L240" s="118"/>
      <c r="M240" s="96"/>
    </row>
    <row r="241" spans="1:13" x14ac:dyDescent="0.15">
      <c r="A241" s="142" t="s">
        <v>194</v>
      </c>
      <c r="B241" s="100">
        <v>11.5</v>
      </c>
      <c r="C241" s="100">
        <v>11.5</v>
      </c>
      <c r="D241" s="100">
        <v>11.5</v>
      </c>
      <c r="E241" s="100">
        <v>11.5</v>
      </c>
      <c r="F241" s="100">
        <v>11.5</v>
      </c>
      <c r="G241" s="100">
        <v>11.5</v>
      </c>
      <c r="H241" s="100">
        <v>11.5</v>
      </c>
      <c r="I241" s="130" t="s">
        <v>195</v>
      </c>
      <c r="J241" s="131"/>
      <c r="K241" s="132"/>
      <c r="L241" s="118"/>
      <c r="M241" s="96"/>
    </row>
    <row r="242" spans="1:13" x14ac:dyDescent="0.15">
      <c r="A242" s="140" t="s">
        <v>196</v>
      </c>
      <c r="B242" s="100">
        <v>65</v>
      </c>
      <c r="C242" s="100">
        <v>65</v>
      </c>
      <c r="D242" s="100">
        <v>66</v>
      </c>
      <c r="E242" s="100">
        <v>65</v>
      </c>
      <c r="F242" s="100">
        <v>65</v>
      </c>
      <c r="G242" s="100">
        <v>65</v>
      </c>
      <c r="H242" s="100">
        <v>65</v>
      </c>
      <c r="I242" s="130" t="s">
        <v>197</v>
      </c>
      <c r="J242" s="131"/>
      <c r="K242" s="132"/>
      <c r="L242" s="118"/>
      <c r="M242" s="96"/>
    </row>
    <row r="243" spans="1:13" ht="66" x14ac:dyDescent="0.2">
      <c r="A243" s="105" t="s">
        <v>82</v>
      </c>
      <c r="B243" s="106">
        <v>341.02417977829555</v>
      </c>
      <c r="C243" s="106">
        <v>275.81414159567476</v>
      </c>
      <c r="D243" s="106">
        <v>381.94558809970528</v>
      </c>
      <c r="E243" s="106">
        <v>283.89055713367077</v>
      </c>
      <c r="F243" s="106">
        <v>293.98607655616576</v>
      </c>
      <c r="G243" s="106">
        <v>275.81414159567476</v>
      </c>
      <c r="H243" s="106">
        <v>450.70892007097791</v>
      </c>
      <c r="J243" s="96"/>
      <c r="K243" s="96"/>
      <c r="L243" s="96"/>
      <c r="M243" s="90"/>
    </row>
    <row r="244" spans="1:13" x14ac:dyDescent="0.15">
      <c r="A244" s="133"/>
      <c r="I244" s="96"/>
      <c r="J244" s="89"/>
      <c r="K244" s="90"/>
      <c r="L244" s="90"/>
      <c r="M244" s="90"/>
    </row>
    <row r="245" spans="1:13" x14ac:dyDescent="0.15">
      <c r="I245" s="96"/>
    </row>
  </sheetData>
  <phoneticPr fontId="3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W342"/>
  <sheetViews>
    <sheetView tabSelected="1" topLeftCell="G1" zoomScale="200" zoomScaleNormal="200" zoomScalePageLayoutView="200" workbookViewId="0">
      <pane ySplit="7" topLeftCell="A8" activePane="bottomLeft" state="frozen"/>
      <selection pane="bottomLeft" activeCell="E12" sqref="E12"/>
    </sheetView>
  </sheetViews>
  <sheetFormatPr baseColWidth="10" defaultRowHeight="13" x14ac:dyDescent="0.15"/>
  <cols>
    <col min="1" max="1" width="14.6640625" customWidth="1"/>
    <col min="2" max="2" width="10.83203125" customWidth="1"/>
    <col min="3" max="3" width="9.33203125" customWidth="1"/>
    <col min="4" max="4" width="10" customWidth="1"/>
    <col min="5" max="5" width="10.33203125" customWidth="1"/>
    <col min="6" max="6" width="12.1640625" customWidth="1"/>
    <col min="7" max="7" width="11.1640625" customWidth="1"/>
    <col min="8" max="8" width="11.83203125" bestFit="1" customWidth="1"/>
    <col min="16" max="16" width="12.6640625" bestFit="1" customWidth="1"/>
    <col min="17" max="17" width="7.1640625" customWidth="1"/>
    <col min="18" max="18" width="5.33203125" customWidth="1"/>
    <col min="19" max="19" width="10" customWidth="1"/>
    <col min="20" max="20" width="5.83203125" customWidth="1"/>
    <col min="21" max="21" width="6.83203125" customWidth="1"/>
    <col min="22" max="22" width="5.5" customWidth="1"/>
    <col min="23" max="23" width="6.83203125" customWidth="1"/>
    <col min="24" max="24" width="6.33203125" customWidth="1"/>
    <col min="25" max="25" width="6.1640625" customWidth="1"/>
    <col min="26" max="26" width="7.1640625" customWidth="1"/>
    <col min="27" max="27" width="5.83203125" customWidth="1"/>
    <col min="28" max="28" width="7" customWidth="1"/>
    <col min="29" max="29" width="5.5" customWidth="1"/>
    <col min="30" max="30" width="7.33203125" customWidth="1"/>
    <col min="31" max="31" width="6.1640625" customWidth="1"/>
    <col min="32" max="32" width="9" customWidth="1"/>
    <col min="33" max="33" width="7.6640625" customWidth="1"/>
    <col min="34" max="34" width="7" customWidth="1"/>
    <col min="35" max="35" width="6.83203125" customWidth="1"/>
    <col min="36" max="36" width="5.83203125" customWidth="1"/>
    <col min="37" max="37" width="7.83203125" customWidth="1"/>
    <col min="38" max="38" width="5" customWidth="1"/>
    <col min="39" max="40" width="8.1640625" customWidth="1"/>
    <col min="41" max="41" width="11" customWidth="1"/>
    <col min="42" max="42" width="8.6640625" customWidth="1"/>
    <col min="43" max="43" width="10.83203125" customWidth="1"/>
    <col min="44" max="44" width="8.5" customWidth="1"/>
    <col min="45" max="45" width="7.5" customWidth="1"/>
    <col min="46" max="46" width="11.83203125" customWidth="1"/>
    <col min="47" max="48" width="10.6640625" customWidth="1"/>
    <col min="49" max="49" width="19.6640625" customWidth="1"/>
  </cols>
  <sheetData>
    <row r="1" spans="1:49" x14ac:dyDescent="0.15">
      <c r="AJ1" s="1"/>
      <c r="AK1" s="1"/>
      <c r="AL1" s="2"/>
      <c r="AM1" s="2"/>
      <c r="AN1" s="2"/>
      <c r="AO1" s="2"/>
      <c r="AP1" s="2"/>
      <c r="AQ1" s="2"/>
    </row>
    <row r="2" spans="1:49" x14ac:dyDescent="0.15">
      <c r="A2" s="3">
        <v>41065</v>
      </c>
      <c r="S2" t="s">
        <v>325</v>
      </c>
      <c r="T2" t="s">
        <v>324</v>
      </c>
      <c r="U2" t="s">
        <v>15</v>
      </c>
      <c r="V2" t="s">
        <v>323</v>
      </c>
      <c r="W2" t="s">
        <v>501</v>
      </c>
      <c r="AB2" s="15">
        <v>850</v>
      </c>
      <c r="AC2" t="s">
        <v>497</v>
      </c>
      <c r="AD2" t="s">
        <v>498</v>
      </c>
      <c r="AJ2" s="1"/>
      <c r="AK2" s="1"/>
      <c r="AL2" s="1"/>
      <c r="AM2" s="1"/>
      <c r="AN2" s="1"/>
      <c r="AO2" s="1"/>
      <c r="AP2" s="1"/>
      <c r="AQ2" s="1"/>
    </row>
    <row r="3" spans="1:49" x14ac:dyDescent="0.15">
      <c r="S3" s="4">
        <v>0.5</v>
      </c>
      <c r="T3" s="4">
        <v>0.33</v>
      </c>
      <c r="U3" s="5">
        <v>1</v>
      </c>
      <c r="V3" s="4">
        <v>0.66</v>
      </c>
      <c r="W3" s="147">
        <f>+C26</f>
        <v>600.53863999999999</v>
      </c>
      <c r="X3" s="147">
        <f>+C26</f>
        <v>600.53863999999999</v>
      </c>
      <c r="Y3" s="147">
        <f>+C26</f>
        <v>600.53863999999999</v>
      </c>
      <c r="Z3" s="147">
        <f>+C26</f>
        <v>600.53863999999999</v>
      </c>
      <c r="AA3" s="147">
        <f>+H24</f>
        <v>700</v>
      </c>
      <c r="AB3" s="6">
        <f>+E24</f>
        <v>959.41104835725355</v>
      </c>
      <c r="AC3" s="147">
        <f>+C26</f>
        <v>600.53863999999999</v>
      </c>
      <c r="AD3" t="s">
        <v>18</v>
      </c>
      <c r="AJ3" s="6"/>
      <c r="AK3" s="147"/>
      <c r="AL3" s="6"/>
      <c r="AM3" s="6"/>
      <c r="AN3" s="147"/>
      <c r="AO3" s="6"/>
      <c r="AP3" s="6"/>
      <c r="AQ3" s="7"/>
    </row>
    <row r="4" spans="1:49" x14ac:dyDescent="0.15">
      <c r="T4" s="230" t="s">
        <v>32</v>
      </c>
      <c r="U4" s="230" t="s">
        <v>32</v>
      </c>
      <c r="W4" s="1" t="s">
        <v>20</v>
      </c>
      <c r="X4" s="1" t="s">
        <v>20</v>
      </c>
      <c r="Y4" s="1" t="s">
        <v>20</v>
      </c>
      <c r="Z4" s="1" t="s">
        <v>20</v>
      </c>
      <c r="AA4" s="1" t="s">
        <v>20</v>
      </c>
      <c r="AB4" s="2" t="s">
        <v>20</v>
      </c>
      <c r="AC4" s="1" t="s">
        <v>20</v>
      </c>
      <c r="AD4" s="2" t="s">
        <v>21</v>
      </c>
      <c r="AE4" s="2" t="s">
        <v>320</v>
      </c>
      <c r="AF4" s="2" t="s">
        <v>320</v>
      </c>
      <c r="AG4" s="2" t="s">
        <v>322</v>
      </c>
      <c r="AH4" s="2" t="s">
        <v>322</v>
      </c>
      <c r="AI4" s="2"/>
    </row>
    <row r="5" spans="1:49" x14ac:dyDescent="0.15">
      <c r="F5" t="s">
        <v>500</v>
      </c>
      <c r="T5" s="230" t="s">
        <v>318</v>
      </c>
      <c r="U5" s="230" t="s">
        <v>319</v>
      </c>
      <c r="V5" s="1" t="s">
        <v>24</v>
      </c>
      <c r="W5" s="1" t="s">
        <v>25</v>
      </c>
      <c r="X5" s="1" t="s">
        <v>25</v>
      </c>
      <c r="Y5" s="1" t="s">
        <v>25</v>
      </c>
      <c r="Z5" s="1" t="s">
        <v>25</v>
      </c>
      <c r="AA5" s="1" t="s">
        <v>25</v>
      </c>
      <c r="AB5" s="2" t="s">
        <v>25</v>
      </c>
      <c r="AC5" s="1" t="s">
        <v>25</v>
      </c>
      <c r="AD5" s="2" t="s">
        <v>26</v>
      </c>
      <c r="AE5" s="8" t="s">
        <v>27</v>
      </c>
      <c r="AF5" s="8" t="s">
        <v>27</v>
      </c>
      <c r="AG5" s="8" t="s">
        <v>27</v>
      </c>
      <c r="AH5" s="8" t="s">
        <v>27</v>
      </c>
      <c r="AI5" s="8"/>
      <c r="AJ5" s="2" t="s">
        <v>28</v>
      </c>
      <c r="AK5" s="2" t="s">
        <v>28</v>
      </c>
      <c r="AL5" s="8" t="s">
        <v>27</v>
      </c>
      <c r="AM5" t="s">
        <v>29</v>
      </c>
      <c r="AN5" t="s">
        <v>499</v>
      </c>
      <c r="AO5" t="s">
        <v>30</v>
      </c>
      <c r="AP5" t="s">
        <v>30</v>
      </c>
      <c r="AQ5" t="s">
        <v>31</v>
      </c>
      <c r="AU5" t="s">
        <v>329</v>
      </c>
      <c r="AV5" t="s">
        <v>505</v>
      </c>
    </row>
    <row r="6" spans="1:49" x14ac:dyDescent="0.15">
      <c r="A6" s="3"/>
      <c r="C6" s="9"/>
      <c r="S6" t="s">
        <v>32</v>
      </c>
      <c r="T6" s="230" t="s">
        <v>22</v>
      </c>
      <c r="U6" s="230" t="s">
        <v>23</v>
      </c>
      <c r="V6" s="1" t="s">
        <v>37</v>
      </c>
      <c r="W6" s="1" t="s">
        <v>313</v>
      </c>
      <c r="X6" s="1" t="s">
        <v>314</v>
      </c>
      <c r="Y6" s="1" t="s">
        <v>315</v>
      </c>
      <c r="Z6" s="1" t="s">
        <v>309</v>
      </c>
      <c r="AA6" s="1" t="s">
        <v>310</v>
      </c>
      <c r="AB6" s="2" t="s">
        <v>311</v>
      </c>
      <c r="AC6" s="2" t="s">
        <v>316</v>
      </c>
      <c r="AD6" s="2" t="s">
        <v>41</v>
      </c>
      <c r="AE6" s="8" t="s">
        <v>42</v>
      </c>
      <c r="AF6" s="8" t="s">
        <v>321</v>
      </c>
      <c r="AG6" s="8" t="s">
        <v>3</v>
      </c>
      <c r="AH6" s="8" t="s">
        <v>321</v>
      </c>
      <c r="AI6" s="8"/>
      <c r="AJ6" s="8" t="s">
        <v>42</v>
      </c>
      <c r="AK6" s="8" t="s">
        <v>43</v>
      </c>
      <c r="AL6" s="8" t="s">
        <v>43</v>
      </c>
      <c r="AM6" t="s">
        <v>44</v>
      </c>
      <c r="AQ6" t="s">
        <v>46</v>
      </c>
      <c r="AR6" t="s">
        <v>32</v>
      </c>
      <c r="AS6" t="s">
        <v>334</v>
      </c>
      <c r="AT6" t="s">
        <v>327</v>
      </c>
      <c r="AU6" t="s">
        <v>328</v>
      </c>
      <c r="AV6" t="s">
        <v>506</v>
      </c>
      <c r="AW6" t="s">
        <v>330</v>
      </c>
    </row>
    <row r="7" spans="1:49" x14ac:dyDescent="0.15">
      <c r="V7" s="10"/>
      <c r="W7" s="6">
        <f>+C207+C208+C214+C215+C216+C40+C47</f>
        <v>568.83991768369253</v>
      </c>
      <c r="X7" s="147">
        <f>+C207+C209+C214+C215+C216+C40+C47</f>
        <v>639.71893193403866</v>
      </c>
      <c r="Y7" s="147">
        <f>+C31+C34+C38+C39+C40+C45+C47</f>
        <v>592.82115554020982</v>
      </c>
      <c r="Z7" s="147">
        <f>+C31+C35+C38+C39+C40+C45+C47</f>
        <v>427.597362413219</v>
      </c>
      <c r="AA7" s="6">
        <f>+C31+C36+C38+C39+C40+C45+C47</f>
        <v>505.58442814147622</v>
      </c>
      <c r="AB7" s="6">
        <f>+C40+C47+C214+C215+C216+D213</f>
        <v>731.77662541167183</v>
      </c>
      <c r="AC7" s="147">
        <f>+P207</f>
        <v>731.77662541167183</v>
      </c>
      <c r="AD7" s="6"/>
      <c r="AE7" s="144"/>
      <c r="AF7" s="147">
        <v>130000</v>
      </c>
      <c r="AG7" s="147" t="s">
        <v>504</v>
      </c>
      <c r="AH7" s="147"/>
      <c r="AI7" s="147"/>
      <c r="AJ7" s="2"/>
      <c r="AK7" s="7">
        <v>20000</v>
      </c>
      <c r="AL7" s="144"/>
      <c r="AO7" t="s">
        <v>47</v>
      </c>
      <c r="AP7" t="s">
        <v>48</v>
      </c>
      <c r="AQ7" t="s">
        <v>47</v>
      </c>
    </row>
    <row r="8" spans="1:49" x14ac:dyDescent="0.15">
      <c r="V8" s="10"/>
      <c r="W8" s="6"/>
      <c r="X8" s="147"/>
      <c r="Y8" s="147"/>
      <c r="Z8" s="147"/>
      <c r="AA8" s="6"/>
      <c r="AB8" s="6"/>
      <c r="AC8" s="147"/>
      <c r="AD8" s="6"/>
      <c r="AE8" s="144"/>
      <c r="AF8" s="60"/>
      <c r="AG8" s="60"/>
      <c r="AH8" s="60"/>
      <c r="AI8" s="60"/>
      <c r="AJ8" s="2"/>
      <c r="AK8" s="2"/>
      <c r="AL8" s="144"/>
    </row>
    <row r="9" spans="1:49" x14ac:dyDescent="0.15">
      <c r="V9" s="10"/>
      <c r="W9" s="10"/>
      <c r="X9" s="146"/>
      <c r="Y9" s="146"/>
      <c r="Z9" s="146"/>
      <c r="AA9" s="10"/>
      <c r="AE9" s="144"/>
      <c r="AF9" s="144"/>
      <c r="AG9" s="144"/>
      <c r="AH9" s="144"/>
      <c r="AI9" s="144"/>
      <c r="AL9" s="144"/>
    </row>
    <row r="10" spans="1:49" x14ac:dyDescent="0.15">
      <c r="K10" s="9"/>
      <c r="L10" s="2"/>
      <c r="M10" s="2"/>
      <c r="N10" s="2"/>
      <c r="P10" s="2"/>
      <c r="Q10" s="2"/>
      <c r="R10" s="2"/>
      <c r="S10" t="s">
        <v>335</v>
      </c>
      <c r="T10" s="146">
        <v>76</v>
      </c>
      <c r="U10" s="146">
        <v>264</v>
      </c>
      <c r="V10" s="10">
        <f t="shared" ref="V10:V28" si="0">+U10/T10</f>
        <v>3.4736842105263159</v>
      </c>
      <c r="W10" s="10"/>
      <c r="X10" s="146"/>
      <c r="Y10" s="146"/>
      <c r="Z10" s="146"/>
      <c r="AA10" s="10">
        <v>195</v>
      </c>
      <c r="AB10" s="146">
        <v>69</v>
      </c>
      <c r="AC10" s="146"/>
      <c r="AD10" s="10">
        <f>SUM(W10:AC10)</f>
        <v>264</v>
      </c>
      <c r="AF10" s="147">
        <f>(AE10*$AF$7 )/AD10</f>
        <v>0</v>
      </c>
      <c r="AG10" s="59">
        <v>0.3</v>
      </c>
      <c r="AH10" s="147">
        <f t="shared" ref="AH10:AH74" si="1">+AG10*$C$41/AD10</f>
        <v>147.72727272727272</v>
      </c>
      <c r="AI10" s="146">
        <v>6251</v>
      </c>
      <c r="AJ10" s="59"/>
      <c r="AK10" s="147">
        <f t="shared" ref="AK10:AK33" si="2">+AJ10*$AK$7/AD10</f>
        <v>0</v>
      </c>
      <c r="AL10" s="6"/>
      <c r="AM10" s="147">
        <f>+(($AB$7*0.26)+($AA$7*0.74))+AF10+AH10+AK10</f>
        <v>712.12167215899979</v>
      </c>
      <c r="AN10" s="147">
        <f>+(($AB$2*0.26)+($C$26*0.74))</f>
        <v>665.39859359999991</v>
      </c>
      <c r="AO10" s="147">
        <f>+AN10-AM10</f>
        <v>-46.723078558999873</v>
      </c>
      <c r="AP10" s="231">
        <f>+(AO10)/$C$22</f>
        <v>-6.1635177140121872E-2</v>
      </c>
      <c r="AQ10" s="12">
        <f t="shared" ref="AQ10:AQ69" si="3">+AO10*AD10</f>
        <v>-12334.892739575967</v>
      </c>
      <c r="AR10" t="s">
        <v>335</v>
      </c>
      <c r="AT10" s="147">
        <f>+AM10*AD10</f>
        <v>188000.12144997594</v>
      </c>
      <c r="AU10" s="147">
        <f>+AH10*AD10</f>
        <v>39000</v>
      </c>
      <c r="AV10" s="147">
        <f>+AF10*AD10</f>
        <v>0</v>
      </c>
      <c r="AW10" s="4"/>
    </row>
    <row r="11" spans="1:49" x14ac:dyDescent="0.15">
      <c r="J11" s="2"/>
      <c r="N11" s="147"/>
      <c r="R11" s="2"/>
      <c r="S11" t="s">
        <v>336</v>
      </c>
      <c r="T11" s="146">
        <v>76</v>
      </c>
      <c r="U11" s="146">
        <v>470</v>
      </c>
      <c r="V11" s="146">
        <f t="shared" si="0"/>
        <v>6.1842105263157894</v>
      </c>
      <c r="W11" s="10"/>
      <c r="X11" s="146"/>
      <c r="Y11" s="146"/>
      <c r="Z11" s="146"/>
      <c r="AA11" s="10"/>
      <c r="AB11" s="146">
        <v>470</v>
      </c>
      <c r="AC11" s="146"/>
      <c r="AD11" s="146">
        <f t="shared" ref="AD11:AD71" si="4">SUM(W11:AC11)</f>
        <v>470</v>
      </c>
      <c r="AF11" s="147">
        <f t="shared" ref="AF11:AF13" si="5">(AE11*$AF$7 )/AD11</f>
        <v>0</v>
      </c>
      <c r="AG11" s="59">
        <v>0.3</v>
      </c>
      <c r="AH11" s="147">
        <f t="shared" si="1"/>
        <v>82.978723404255319</v>
      </c>
      <c r="AI11" s="146">
        <v>6251</v>
      </c>
      <c r="AJ11" s="59"/>
      <c r="AK11" s="147">
        <f t="shared" si="2"/>
        <v>0</v>
      </c>
      <c r="AL11" s="6"/>
      <c r="AM11" s="147">
        <f t="shared" ref="AM11:AM57" si="6">+$AB$7+AF11+AK11+AH11</f>
        <v>814.75534881592716</v>
      </c>
      <c r="AN11" s="147">
        <f>+$AB$2</f>
        <v>850</v>
      </c>
      <c r="AO11" s="147">
        <f>+AN11-AM11</f>
        <v>35.244651184072836</v>
      </c>
      <c r="AP11" s="231">
        <f t="shared" ref="AP11:AP36" si="7">+(AO11)/$C$22</f>
        <v>4.6493304507515196E-2</v>
      </c>
      <c r="AQ11" s="12">
        <f t="shared" si="3"/>
        <v>16564.986056514233</v>
      </c>
      <c r="AR11" t="s">
        <v>336</v>
      </c>
      <c r="AT11" s="237">
        <f t="shared" ref="AT11:AT70" si="8">+AM11*AD11</f>
        <v>382935.01394348574</v>
      </c>
      <c r="AU11" s="147">
        <f t="shared" ref="AU11:AU13" si="9">+AH11*AD11</f>
        <v>39000</v>
      </c>
      <c r="AV11" s="147">
        <f t="shared" ref="AV11:AV74" si="10">+AF11*AD11</f>
        <v>0</v>
      </c>
    </row>
    <row r="12" spans="1:49" x14ac:dyDescent="0.15">
      <c r="A12" s="9" t="s">
        <v>56</v>
      </c>
      <c r="B12" s="2" t="s">
        <v>23</v>
      </c>
      <c r="C12" s="2" t="s">
        <v>57</v>
      </c>
      <c r="D12" s="2" t="s">
        <v>58</v>
      </c>
      <c r="E12" s="2" t="s">
        <v>59</v>
      </c>
      <c r="F12" s="2" t="s">
        <v>60</v>
      </c>
      <c r="G12" s="2" t="s">
        <v>61</v>
      </c>
      <c r="H12" s="2" t="s">
        <v>62</v>
      </c>
      <c r="I12" s="2"/>
      <c r="J12" s="240" t="s">
        <v>23</v>
      </c>
      <c r="K12" s="14"/>
      <c r="M12" s="6"/>
      <c r="O12" s="15"/>
      <c r="R12" s="2"/>
      <c r="S12" t="s">
        <v>337</v>
      </c>
      <c r="T12" s="146">
        <v>83</v>
      </c>
      <c r="U12" s="146">
        <v>582</v>
      </c>
      <c r="V12" s="146">
        <f t="shared" si="0"/>
        <v>7.0120481927710845</v>
      </c>
      <c r="W12" s="146"/>
      <c r="X12" s="146"/>
      <c r="Y12" s="146"/>
      <c r="Z12" s="146"/>
      <c r="AA12" s="10"/>
      <c r="AB12" s="146">
        <v>582</v>
      </c>
      <c r="AC12" s="146"/>
      <c r="AD12" s="146">
        <f t="shared" si="4"/>
        <v>582</v>
      </c>
      <c r="AF12" s="147">
        <f t="shared" si="5"/>
        <v>0</v>
      </c>
      <c r="AG12" s="59">
        <v>0.2</v>
      </c>
      <c r="AH12" s="147">
        <f t="shared" si="1"/>
        <v>44.673539518900341</v>
      </c>
      <c r="AI12" s="146">
        <v>6251</v>
      </c>
      <c r="AJ12" s="59"/>
      <c r="AK12" s="147">
        <f t="shared" si="2"/>
        <v>0</v>
      </c>
      <c r="AL12" s="6"/>
      <c r="AM12" s="147">
        <f t="shared" si="6"/>
        <v>776.45016493057221</v>
      </c>
      <c r="AN12" s="147">
        <f>+$AB$2</f>
        <v>850</v>
      </c>
      <c r="AO12" s="147">
        <f t="shared" ref="AO12:AO28" si="11">+AN12-AM12</f>
        <v>73.549835069427786</v>
      </c>
      <c r="AP12" s="231">
        <f t="shared" si="7"/>
        <v>9.7023938767359458E-2</v>
      </c>
      <c r="AQ12" s="12">
        <f t="shared" si="3"/>
        <v>42806.00401040697</v>
      </c>
      <c r="AR12" t="s">
        <v>337</v>
      </c>
      <c r="AT12" s="237">
        <f t="shared" si="8"/>
        <v>451893.99598959304</v>
      </c>
      <c r="AU12" s="147">
        <f t="shared" si="9"/>
        <v>26000</v>
      </c>
      <c r="AV12" s="147">
        <f t="shared" si="10"/>
        <v>0</v>
      </c>
    </row>
    <row r="13" spans="1:49" x14ac:dyDescent="0.15">
      <c r="J13" s="5"/>
      <c r="K13" s="14"/>
      <c r="M13" s="6"/>
      <c r="O13" s="15"/>
      <c r="R13" s="2"/>
      <c r="S13" t="s">
        <v>338</v>
      </c>
      <c r="T13" s="146">
        <v>26</v>
      </c>
      <c r="U13" s="146">
        <f>78+67</f>
        <v>145</v>
      </c>
      <c r="V13" s="146">
        <f t="shared" si="0"/>
        <v>5.5769230769230766</v>
      </c>
      <c r="W13" s="146"/>
      <c r="X13" s="146"/>
      <c r="Y13" s="146"/>
      <c r="Z13" s="146"/>
      <c r="AA13" s="10">
        <v>67</v>
      </c>
      <c r="AB13" s="146">
        <v>78</v>
      </c>
      <c r="AC13" s="146"/>
      <c r="AD13" s="146">
        <f t="shared" si="4"/>
        <v>145</v>
      </c>
      <c r="AF13" s="147">
        <f t="shared" si="5"/>
        <v>0</v>
      </c>
      <c r="AG13" s="59">
        <v>0.2</v>
      </c>
      <c r="AH13" s="147">
        <f t="shared" si="1"/>
        <v>179.31034482758622</v>
      </c>
      <c r="AI13" s="146">
        <v>6251</v>
      </c>
      <c r="AJ13" s="59"/>
      <c r="AK13" s="147">
        <f t="shared" si="2"/>
        <v>0</v>
      </c>
      <c r="AL13" s="6"/>
      <c r="AM13" s="147">
        <f>+(($AB$7*0.54)+($AA$7*0.46))+AF13+AH13+AK13</f>
        <v>807.03855949496801</v>
      </c>
      <c r="AN13" s="147">
        <f>+(AA3*0.46+AB2*0.54)</f>
        <v>781</v>
      </c>
      <c r="AO13" s="147">
        <f t="shared" si="11"/>
        <v>-26.038559494968013</v>
      </c>
      <c r="AP13" s="231">
        <f t="shared" si="7"/>
        <v>-3.4349004313133369E-2</v>
      </c>
      <c r="AQ13" s="12">
        <f t="shared" si="3"/>
        <v>-3775.5911267703618</v>
      </c>
      <c r="AR13" t="s">
        <v>338</v>
      </c>
      <c r="AT13" s="237">
        <f t="shared" si="8"/>
        <v>117020.59112677036</v>
      </c>
      <c r="AU13" s="147">
        <f t="shared" si="9"/>
        <v>26000.000000000004</v>
      </c>
      <c r="AV13" s="147">
        <f t="shared" si="10"/>
        <v>0</v>
      </c>
    </row>
    <row r="14" spans="1:49" x14ac:dyDescent="0.15">
      <c r="A14" s="14" t="s">
        <v>64</v>
      </c>
      <c r="B14" s="5">
        <v>0.22</v>
      </c>
      <c r="C14" s="15">
        <f>+D185</f>
        <v>1278.99</v>
      </c>
      <c r="D14" s="6">
        <f t="shared" ref="D14:D20" si="12">+C14*B14</f>
        <v>281.37779999999998</v>
      </c>
      <c r="E14" s="10">
        <v>17025</v>
      </c>
      <c r="F14" s="6">
        <f t="shared" ref="F14:F20" si="13">+E185</f>
        <v>262</v>
      </c>
      <c r="G14" s="6">
        <f t="shared" ref="G14:G20" si="14">+F14*B14</f>
        <v>57.64</v>
      </c>
      <c r="H14" s="15">
        <f t="shared" ref="H14:H20" si="15">+C14-F14</f>
        <v>1016.99</v>
      </c>
      <c r="I14" s="15"/>
      <c r="J14" s="239">
        <v>13000</v>
      </c>
      <c r="K14" s="241">
        <f>+J14/$J$22</f>
        <v>0.22033898305084745</v>
      </c>
      <c r="L14" s="17"/>
      <c r="M14" s="5"/>
      <c r="N14" s="4"/>
      <c r="O14" s="15"/>
      <c r="P14" s="15"/>
      <c r="Q14" s="15"/>
      <c r="R14" s="2"/>
      <c r="S14" t="s">
        <v>339</v>
      </c>
      <c r="T14" s="146">
        <v>55</v>
      </c>
      <c r="U14" s="146">
        <v>362</v>
      </c>
      <c r="V14" s="146">
        <f t="shared" si="0"/>
        <v>6.581818181818182</v>
      </c>
      <c r="W14" s="146"/>
      <c r="X14" s="146"/>
      <c r="Y14" s="146"/>
      <c r="Z14" s="146"/>
      <c r="AA14" s="10"/>
      <c r="AB14" s="146">
        <v>362</v>
      </c>
      <c r="AC14" s="146"/>
      <c r="AD14" s="146">
        <f t="shared" si="4"/>
        <v>362</v>
      </c>
      <c r="AE14" s="59">
        <v>0.1</v>
      </c>
      <c r="AF14" s="147">
        <f t="shared" ref="AF14:AF17" si="16">(AE14*$AF$7 )/AD14</f>
        <v>35.911602209944753</v>
      </c>
      <c r="AG14" s="59">
        <v>0.3</v>
      </c>
      <c r="AH14" s="147">
        <f t="shared" si="1"/>
        <v>107.73480662983425</v>
      </c>
      <c r="AI14" s="146">
        <v>6251</v>
      </c>
      <c r="AK14" s="147">
        <f t="shared" si="2"/>
        <v>0</v>
      </c>
      <c r="AL14" s="6"/>
      <c r="AM14" s="147">
        <f t="shared" si="6"/>
        <v>875.42303425145076</v>
      </c>
      <c r="AN14" s="147">
        <f t="shared" ref="AN14:AN29" si="17">+$AB$2</f>
        <v>850</v>
      </c>
      <c r="AO14" s="147">
        <f t="shared" si="11"/>
        <v>-25.423034251450758</v>
      </c>
      <c r="AP14" s="231">
        <f t="shared" si="7"/>
        <v>-3.3537028548940168E-2</v>
      </c>
      <c r="AQ14" s="12">
        <f t="shared" si="3"/>
        <v>-9203.1383990251743</v>
      </c>
      <c r="AR14" t="s">
        <v>339</v>
      </c>
      <c r="AT14" s="237">
        <f t="shared" si="8"/>
        <v>316903.13839902519</v>
      </c>
      <c r="AU14" s="147"/>
      <c r="AV14" s="147">
        <f t="shared" si="10"/>
        <v>13000</v>
      </c>
    </row>
    <row r="15" spans="1:49" x14ac:dyDescent="0.15">
      <c r="A15" s="14" t="s">
        <v>65</v>
      </c>
      <c r="B15" s="5">
        <v>0.02</v>
      </c>
      <c r="C15" s="15">
        <f t="shared" ref="C15:C20" si="18">+D186</f>
        <v>505.03500000000003</v>
      </c>
      <c r="D15" s="6">
        <f t="shared" si="12"/>
        <v>10.100700000000002</v>
      </c>
      <c r="E15" s="10">
        <v>25618</v>
      </c>
      <c r="F15" s="147">
        <f t="shared" si="13"/>
        <v>267</v>
      </c>
      <c r="G15" s="6">
        <f t="shared" si="14"/>
        <v>5.34</v>
      </c>
      <c r="H15" s="15">
        <f t="shared" si="15"/>
        <v>238.03500000000003</v>
      </c>
      <c r="I15" s="15"/>
      <c r="J15" s="239">
        <v>30000</v>
      </c>
      <c r="K15" s="241">
        <f t="shared" ref="K15:K20" si="19">+J15/$J$22</f>
        <v>0.50847457627118642</v>
      </c>
      <c r="L15" s="17"/>
      <c r="M15" s="5"/>
      <c r="N15" s="4"/>
      <c r="O15" s="15"/>
      <c r="P15" s="15"/>
      <c r="Q15" s="15"/>
      <c r="R15" s="2"/>
      <c r="S15" t="s">
        <v>340</v>
      </c>
      <c r="T15" s="146">
        <v>59</v>
      </c>
      <c r="U15" s="146">
        <v>108</v>
      </c>
      <c r="V15" s="146">
        <f t="shared" si="0"/>
        <v>1.8305084745762712</v>
      </c>
      <c r="W15" s="10"/>
      <c r="X15" s="146"/>
      <c r="Y15" s="146"/>
      <c r="Z15" s="146"/>
      <c r="AA15" s="10"/>
      <c r="AB15" s="146">
        <f>108+318</f>
        <v>426</v>
      </c>
      <c r="AC15" s="146"/>
      <c r="AD15" s="146">
        <f t="shared" si="4"/>
        <v>426</v>
      </c>
      <c r="AE15" s="59">
        <v>0.1</v>
      </c>
      <c r="AF15" s="147">
        <f t="shared" si="16"/>
        <v>30.516431924882628</v>
      </c>
      <c r="AH15" s="147">
        <f t="shared" si="1"/>
        <v>0</v>
      </c>
      <c r="AI15" s="146"/>
      <c r="AJ15" s="59"/>
      <c r="AK15" s="147">
        <f t="shared" si="2"/>
        <v>0</v>
      </c>
      <c r="AL15" s="6"/>
      <c r="AM15" s="147">
        <f t="shared" si="6"/>
        <v>762.29305733655451</v>
      </c>
      <c r="AN15" s="147">
        <f t="shared" si="17"/>
        <v>850</v>
      </c>
      <c r="AO15" s="147">
        <f t="shared" si="11"/>
        <v>87.706942663445489</v>
      </c>
      <c r="AP15" s="231">
        <f t="shared" si="7"/>
        <v>0.11569941695202562</v>
      </c>
      <c r="AQ15" s="12">
        <f t="shared" si="3"/>
        <v>37363.157574627781</v>
      </c>
      <c r="AR15" t="s">
        <v>340</v>
      </c>
      <c r="AT15" s="237">
        <f t="shared" si="8"/>
        <v>324736.84242537222</v>
      </c>
      <c r="AU15" s="147">
        <f t="shared" ref="AU15:AU71" si="20">+AH15*AD15</f>
        <v>0</v>
      </c>
      <c r="AV15" s="147">
        <f t="shared" si="10"/>
        <v>13000</v>
      </c>
    </row>
    <row r="16" spans="1:49" x14ac:dyDescent="0.15">
      <c r="A16" s="14" t="s">
        <v>66</v>
      </c>
      <c r="B16" s="5">
        <v>0.08</v>
      </c>
      <c r="C16" s="15">
        <f t="shared" si="18"/>
        <v>1044.2459999999999</v>
      </c>
      <c r="D16" s="6">
        <f t="shared" si="12"/>
        <v>83.53967999999999</v>
      </c>
      <c r="E16" s="10"/>
      <c r="F16" s="147">
        <f t="shared" si="13"/>
        <v>381</v>
      </c>
      <c r="G16" s="6">
        <f t="shared" si="14"/>
        <v>30.48</v>
      </c>
      <c r="H16" s="15">
        <f t="shared" si="15"/>
        <v>663.24599999999987</v>
      </c>
      <c r="I16" s="15"/>
      <c r="J16" s="239">
        <v>5000</v>
      </c>
      <c r="K16" s="241">
        <f t="shared" si="19"/>
        <v>8.4745762711864403E-2</v>
      </c>
      <c r="L16" s="17"/>
      <c r="M16" s="5"/>
      <c r="N16" s="4"/>
      <c r="O16" s="15"/>
      <c r="P16" s="15"/>
      <c r="Q16" s="15"/>
      <c r="R16" s="2"/>
      <c r="S16" t="s">
        <v>341</v>
      </c>
      <c r="T16" s="146">
        <v>85</v>
      </c>
      <c r="U16" s="146">
        <v>648</v>
      </c>
      <c r="V16" s="146">
        <f t="shared" si="0"/>
        <v>7.6235294117647054</v>
      </c>
      <c r="W16" s="10"/>
      <c r="X16" s="146"/>
      <c r="Y16" s="146"/>
      <c r="Z16" s="146"/>
      <c r="AA16" s="10"/>
      <c r="AB16" s="146">
        <v>648</v>
      </c>
      <c r="AC16" s="146"/>
      <c r="AD16" s="146">
        <f t="shared" si="4"/>
        <v>648</v>
      </c>
      <c r="AE16" s="59">
        <v>0.1</v>
      </c>
      <c r="AF16" s="147">
        <f t="shared" si="16"/>
        <v>20.061728395061728</v>
      </c>
      <c r="AH16" s="147">
        <f t="shared" si="1"/>
        <v>0</v>
      </c>
      <c r="AI16" s="146"/>
      <c r="AK16" s="147">
        <f t="shared" si="2"/>
        <v>0</v>
      </c>
      <c r="AL16" s="6"/>
      <c r="AM16" s="147">
        <f t="shared" si="6"/>
        <v>751.83835380673361</v>
      </c>
      <c r="AN16" s="147">
        <f t="shared" si="17"/>
        <v>850</v>
      </c>
      <c r="AO16" s="147">
        <f t="shared" si="11"/>
        <v>98.161646193266392</v>
      </c>
      <c r="AP16" s="231">
        <f t="shared" si="7"/>
        <v>0.12949083489539331</v>
      </c>
      <c r="AQ16" s="12">
        <f t="shared" si="3"/>
        <v>63608.746733236621</v>
      </c>
      <c r="AR16" t="s">
        <v>341</v>
      </c>
      <c r="AT16" s="237">
        <f t="shared" si="8"/>
        <v>487191.25326676335</v>
      </c>
      <c r="AU16" s="147">
        <f t="shared" si="20"/>
        <v>0</v>
      </c>
      <c r="AV16" s="147">
        <f t="shared" si="10"/>
        <v>13000</v>
      </c>
    </row>
    <row r="17" spans="1:48" x14ac:dyDescent="0.15">
      <c r="A17" s="14" t="s">
        <v>67</v>
      </c>
      <c r="B17" s="5"/>
      <c r="C17" s="15">
        <f t="shared" si="18"/>
        <v>860.7600000000001</v>
      </c>
      <c r="D17" s="6">
        <f t="shared" si="12"/>
        <v>0</v>
      </c>
      <c r="E17" s="10"/>
      <c r="F17" s="6">
        <f t="shared" si="13"/>
        <v>92</v>
      </c>
      <c r="G17" s="6">
        <f t="shared" si="14"/>
        <v>0</v>
      </c>
      <c r="H17" s="15">
        <f t="shared" si="15"/>
        <v>768.7600000000001</v>
      </c>
      <c r="I17" s="15"/>
      <c r="J17" s="239"/>
      <c r="K17" s="241">
        <f t="shared" si="19"/>
        <v>0</v>
      </c>
      <c r="L17" s="17"/>
      <c r="M17" s="5"/>
      <c r="N17" s="4"/>
      <c r="O17" s="15"/>
      <c r="P17" s="15"/>
      <c r="Q17" s="15"/>
      <c r="R17" s="10"/>
      <c r="S17" t="s">
        <v>342</v>
      </c>
      <c r="T17" s="146">
        <v>8.6003989999999995</v>
      </c>
      <c r="U17" s="146">
        <v>123</v>
      </c>
      <c r="V17" s="146">
        <f t="shared" si="0"/>
        <v>14.301662050795551</v>
      </c>
      <c r="W17" s="10"/>
      <c r="X17" s="146"/>
      <c r="Y17" s="146"/>
      <c r="Z17" s="146"/>
      <c r="AA17" s="10"/>
      <c r="AB17" s="146">
        <v>123</v>
      </c>
      <c r="AC17" s="146"/>
      <c r="AD17" s="146">
        <f t="shared" si="4"/>
        <v>123</v>
      </c>
      <c r="AE17" s="59">
        <v>0.1</v>
      </c>
      <c r="AF17" s="147">
        <f t="shared" si="16"/>
        <v>105.6910569105691</v>
      </c>
      <c r="AH17" s="147">
        <f t="shared" si="1"/>
        <v>0</v>
      </c>
      <c r="AI17" s="146"/>
      <c r="AK17" s="147">
        <f t="shared" si="2"/>
        <v>0</v>
      </c>
      <c r="AL17" s="6"/>
      <c r="AM17" s="147">
        <f t="shared" si="6"/>
        <v>837.46768232224099</v>
      </c>
      <c r="AN17" s="147">
        <f t="shared" si="17"/>
        <v>850</v>
      </c>
      <c r="AO17" s="147">
        <f t="shared" si="11"/>
        <v>12.532317677759011</v>
      </c>
      <c r="AP17" s="231">
        <f t="shared" si="7"/>
        <v>1.6532121680928286E-2</v>
      </c>
      <c r="AQ17" s="12">
        <f t="shared" si="3"/>
        <v>1541.4750743643583</v>
      </c>
      <c r="AR17" t="s">
        <v>342</v>
      </c>
      <c r="AT17" s="237">
        <f t="shared" si="8"/>
        <v>103008.52492563565</v>
      </c>
      <c r="AU17" s="147"/>
      <c r="AV17" s="147">
        <f t="shared" si="10"/>
        <v>13000</v>
      </c>
    </row>
    <row r="18" spans="1:48" x14ac:dyDescent="0.15">
      <c r="A18" s="20" t="s">
        <v>68</v>
      </c>
      <c r="B18" s="5">
        <v>0.18</v>
      </c>
      <c r="C18" s="15">
        <f t="shared" si="18"/>
        <v>721.572</v>
      </c>
      <c r="D18" s="6">
        <f t="shared" si="12"/>
        <v>129.88296</v>
      </c>
      <c r="E18" s="10">
        <v>2972</v>
      </c>
      <c r="F18" s="147">
        <f t="shared" si="13"/>
        <v>92</v>
      </c>
      <c r="G18" s="6">
        <f t="shared" si="14"/>
        <v>16.559999999999999</v>
      </c>
      <c r="H18" s="15">
        <f t="shared" si="15"/>
        <v>629.572</v>
      </c>
      <c r="I18" s="15"/>
      <c r="J18" s="239">
        <v>11000</v>
      </c>
      <c r="K18" s="241">
        <f t="shared" si="19"/>
        <v>0.1864406779661017</v>
      </c>
      <c r="L18" s="17"/>
      <c r="M18" s="5"/>
      <c r="N18" s="4"/>
      <c r="O18" s="15"/>
      <c r="P18" s="15"/>
      <c r="Q18" s="15"/>
      <c r="R18" s="10"/>
      <c r="S18" t="s">
        <v>343</v>
      </c>
      <c r="T18" s="146">
        <v>149.5</v>
      </c>
      <c r="U18" s="146">
        <f>779+326</f>
        <v>1105</v>
      </c>
      <c r="V18" s="146">
        <f t="shared" si="0"/>
        <v>7.3913043478260869</v>
      </c>
      <c r="W18" s="10"/>
      <c r="X18" s="146"/>
      <c r="Y18" s="146"/>
      <c r="Z18" s="146"/>
      <c r="AA18" s="10"/>
      <c r="AB18" s="146">
        <f>+U18</f>
        <v>1105</v>
      </c>
      <c r="AC18" s="146"/>
      <c r="AD18" s="146">
        <f t="shared" si="4"/>
        <v>1105</v>
      </c>
      <c r="AE18" s="59">
        <v>0.1</v>
      </c>
      <c r="AF18" s="147">
        <f t="shared" ref="AF18:AF36" si="21">+AE18*$AF$7/AD18</f>
        <v>11.764705882352942</v>
      </c>
      <c r="AG18" s="59"/>
      <c r="AH18" s="147">
        <f t="shared" si="1"/>
        <v>0</v>
      </c>
      <c r="AI18" s="146"/>
      <c r="AK18" s="147">
        <f t="shared" si="2"/>
        <v>0</v>
      </c>
      <c r="AL18" s="6"/>
      <c r="AM18" s="147">
        <f t="shared" si="6"/>
        <v>743.54133129402476</v>
      </c>
      <c r="AN18" s="147">
        <f t="shared" si="17"/>
        <v>850</v>
      </c>
      <c r="AO18" s="147">
        <f t="shared" si="11"/>
        <v>106.45866870597524</v>
      </c>
      <c r="AP18" s="231">
        <f t="shared" si="7"/>
        <v>0.14043592815718747</v>
      </c>
      <c r="AQ18" s="12">
        <f t="shared" si="3"/>
        <v>117636.82892010265</v>
      </c>
      <c r="AR18" t="s">
        <v>343</v>
      </c>
      <c r="AT18" s="237">
        <f t="shared" si="8"/>
        <v>821613.17107989732</v>
      </c>
      <c r="AU18" s="147"/>
      <c r="AV18" s="147">
        <f t="shared" si="10"/>
        <v>13000.000000000002</v>
      </c>
    </row>
    <row r="19" spans="1:48" x14ac:dyDescent="0.15">
      <c r="A19" s="20" t="s">
        <v>69</v>
      </c>
      <c r="B19" s="5"/>
      <c r="C19" s="15">
        <f t="shared" si="18"/>
        <v>555.89400000000001</v>
      </c>
      <c r="D19" s="6">
        <f t="shared" si="12"/>
        <v>0</v>
      </c>
      <c r="E19" s="10"/>
      <c r="F19" s="147">
        <f t="shared" si="13"/>
        <v>92</v>
      </c>
      <c r="G19" s="6">
        <f t="shared" si="14"/>
        <v>0</v>
      </c>
      <c r="H19" s="15">
        <f t="shared" si="15"/>
        <v>463.89400000000001</v>
      </c>
      <c r="I19" s="15"/>
      <c r="J19" s="239"/>
      <c r="K19" s="241">
        <f t="shared" si="19"/>
        <v>0</v>
      </c>
      <c r="L19" s="17"/>
      <c r="M19" s="5"/>
      <c r="N19" s="4"/>
      <c r="O19" s="15"/>
      <c r="P19" s="15"/>
      <c r="Q19" s="15"/>
      <c r="R19" s="10"/>
      <c r="S19" t="s">
        <v>344</v>
      </c>
      <c r="T19" s="146">
        <v>114</v>
      </c>
      <c r="U19" s="146">
        <v>1165</v>
      </c>
      <c r="V19" s="146">
        <f t="shared" si="0"/>
        <v>10.219298245614034</v>
      </c>
      <c r="W19" s="10"/>
      <c r="X19" s="146"/>
      <c r="Y19" s="146"/>
      <c r="Z19" s="146"/>
      <c r="AA19" s="10"/>
      <c r="AB19" s="146">
        <f>+U19</f>
        <v>1165</v>
      </c>
      <c r="AC19" s="146"/>
      <c r="AD19" s="146">
        <f t="shared" si="4"/>
        <v>1165</v>
      </c>
      <c r="AE19" s="59">
        <v>0.15</v>
      </c>
      <c r="AF19" s="147">
        <f t="shared" si="21"/>
        <v>16.738197424892704</v>
      </c>
      <c r="AG19" s="59"/>
      <c r="AH19" s="147">
        <f t="shared" si="1"/>
        <v>0</v>
      </c>
      <c r="AI19" s="146"/>
      <c r="AK19" s="147">
        <f t="shared" si="2"/>
        <v>0</v>
      </c>
      <c r="AL19" s="6"/>
      <c r="AM19" s="147">
        <f t="shared" si="6"/>
        <v>748.51482283656458</v>
      </c>
      <c r="AN19" s="147">
        <f t="shared" si="17"/>
        <v>850</v>
      </c>
      <c r="AO19" s="147">
        <f t="shared" si="11"/>
        <v>101.48517716343542</v>
      </c>
      <c r="AP19" s="231">
        <f t="shared" si="7"/>
        <v>0.13387510122361435</v>
      </c>
      <c r="AQ19" s="12">
        <f t="shared" si="3"/>
        <v>118230.23139540227</v>
      </c>
      <c r="AR19" t="s">
        <v>344</v>
      </c>
      <c r="AT19" s="237">
        <f t="shared" si="8"/>
        <v>872019.76860459778</v>
      </c>
      <c r="AU19" s="147">
        <f t="shared" si="20"/>
        <v>0</v>
      </c>
      <c r="AV19" s="147">
        <f t="shared" si="10"/>
        <v>19500</v>
      </c>
    </row>
    <row r="20" spans="1:48" x14ac:dyDescent="0.15">
      <c r="A20" s="20" t="s">
        <v>70</v>
      </c>
      <c r="B20" s="5">
        <v>0.5</v>
      </c>
      <c r="C20" s="15">
        <f t="shared" si="18"/>
        <v>506.315</v>
      </c>
      <c r="D20" s="6">
        <f t="shared" si="12"/>
        <v>253.1575</v>
      </c>
      <c r="E20" s="10"/>
      <c r="F20" s="147">
        <f t="shared" si="13"/>
        <v>95</v>
      </c>
      <c r="G20" s="6">
        <f t="shared" si="14"/>
        <v>47.5</v>
      </c>
      <c r="H20" s="15">
        <f t="shared" si="15"/>
        <v>411.315</v>
      </c>
      <c r="I20" s="15"/>
      <c r="J20" s="239"/>
      <c r="K20" s="241">
        <f t="shared" si="19"/>
        <v>0</v>
      </c>
      <c r="L20" s="17"/>
      <c r="M20" s="5"/>
      <c r="N20" s="4"/>
      <c r="O20" s="15"/>
      <c r="P20" s="15"/>
      <c r="Q20" s="15"/>
      <c r="R20" s="10"/>
      <c r="S20" t="s">
        <v>345</v>
      </c>
      <c r="T20" s="146">
        <v>41.532814999999999</v>
      </c>
      <c r="U20" s="146">
        <v>234</v>
      </c>
      <c r="V20" s="146">
        <f t="shared" si="0"/>
        <v>5.6340992056522055</v>
      </c>
      <c r="W20" s="10"/>
      <c r="X20" s="146"/>
      <c r="Y20" s="146"/>
      <c r="Z20" s="146"/>
      <c r="AA20" s="10"/>
      <c r="AB20" s="146">
        <f>+U20</f>
        <v>234</v>
      </c>
      <c r="AC20" s="146"/>
      <c r="AD20" s="146">
        <f t="shared" si="4"/>
        <v>234</v>
      </c>
      <c r="AE20" s="59">
        <v>0.1</v>
      </c>
      <c r="AF20" s="147">
        <f t="shared" si="21"/>
        <v>55.555555555555557</v>
      </c>
      <c r="AG20" s="59"/>
      <c r="AH20" s="147">
        <f t="shared" si="1"/>
        <v>0</v>
      </c>
      <c r="AI20" s="146"/>
      <c r="AK20" s="147">
        <f t="shared" si="2"/>
        <v>0</v>
      </c>
      <c r="AL20" s="6"/>
      <c r="AM20" s="147">
        <f t="shared" si="6"/>
        <v>787.33218096722737</v>
      </c>
      <c r="AN20" s="147">
        <f t="shared" si="17"/>
        <v>850</v>
      </c>
      <c r="AO20" s="147">
        <f t="shared" si="11"/>
        <v>62.667819032772627</v>
      </c>
      <c r="AP20" s="231">
        <f t="shared" si="7"/>
        <v>8.2668827615727233E-2</v>
      </c>
      <c r="AQ20" s="12">
        <f t="shared" si="3"/>
        <v>14664.269653668794</v>
      </c>
      <c r="AR20" t="s">
        <v>345</v>
      </c>
      <c r="AT20" s="237">
        <f t="shared" si="8"/>
        <v>184235.7303463312</v>
      </c>
      <c r="AU20" s="147"/>
      <c r="AV20" s="147">
        <f t="shared" si="10"/>
        <v>13000</v>
      </c>
    </row>
    <row r="21" spans="1:48" x14ac:dyDescent="0.15">
      <c r="A21" s="14"/>
      <c r="B21" s="6"/>
      <c r="C21" s="6"/>
      <c r="D21" s="6"/>
      <c r="E21" s="10"/>
      <c r="J21" s="239"/>
      <c r="K21" s="7"/>
      <c r="M21" s="6"/>
      <c r="N21" s="4"/>
      <c r="R21" s="2"/>
      <c r="S21" t="s">
        <v>346</v>
      </c>
      <c r="T21" s="146">
        <v>78</v>
      </c>
      <c r="U21" s="146">
        <f>347+205</f>
        <v>552</v>
      </c>
      <c r="V21" s="146">
        <f t="shared" si="0"/>
        <v>7.0769230769230766</v>
      </c>
      <c r="W21" s="10"/>
      <c r="X21" s="146"/>
      <c r="Y21" s="146"/>
      <c r="Z21" s="146"/>
      <c r="AA21" s="10"/>
      <c r="AB21" s="146">
        <f>347+205</f>
        <v>552</v>
      </c>
      <c r="AD21" s="146">
        <f>SUM(W21:AB21)</f>
        <v>552</v>
      </c>
      <c r="AE21" s="59"/>
      <c r="AF21" s="147">
        <f t="shared" si="21"/>
        <v>0</v>
      </c>
      <c r="AG21" s="59"/>
      <c r="AH21" s="147">
        <f t="shared" si="1"/>
        <v>0</v>
      </c>
      <c r="AI21" s="146"/>
      <c r="AK21" s="147">
        <f t="shared" si="2"/>
        <v>0</v>
      </c>
      <c r="AL21" s="6"/>
      <c r="AM21" s="147">
        <f t="shared" si="6"/>
        <v>731.77662541167183</v>
      </c>
      <c r="AN21" s="147">
        <f t="shared" si="17"/>
        <v>850</v>
      </c>
      <c r="AO21" s="147">
        <f t="shared" si="11"/>
        <v>118.22337458832817</v>
      </c>
      <c r="AP21" s="231">
        <f t="shared" si="7"/>
        <v>0.15595544770563946</v>
      </c>
      <c r="AQ21" s="12">
        <f t="shared" si="3"/>
        <v>65259.302772757146</v>
      </c>
      <c r="AR21" t="s">
        <v>346</v>
      </c>
      <c r="AT21" s="237">
        <f t="shared" si="8"/>
        <v>403940.69722724287</v>
      </c>
      <c r="AU21" s="147">
        <f t="shared" si="20"/>
        <v>0</v>
      </c>
      <c r="AV21" s="147">
        <f t="shared" si="10"/>
        <v>0</v>
      </c>
    </row>
    <row r="22" spans="1:48" x14ac:dyDescent="0.15">
      <c r="A22" s="21" t="s">
        <v>71</v>
      </c>
      <c r="B22" s="5">
        <f>SUM(B14:B21)</f>
        <v>1</v>
      </c>
      <c r="C22" s="6">
        <f>SUM(D14:D20)</f>
        <v>758.05863999999997</v>
      </c>
      <c r="D22" s="6"/>
      <c r="E22" s="10">
        <f>SUM(E14:E20)</f>
        <v>45615</v>
      </c>
      <c r="I22" s="15"/>
      <c r="J22" s="239">
        <f>SUM(J14:J21)</f>
        <v>59000</v>
      </c>
      <c r="K22" s="231">
        <f>SUM(K14:K21)</f>
        <v>1</v>
      </c>
      <c r="L22" s="17"/>
      <c r="N22" s="4"/>
      <c r="O22" s="15"/>
      <c r="P22" s="15"/>
      <c r="Q22" s="15"/>
      <c r="R22" s="2"/>
      <c r="S22" t="s">
        <v>347</v>
      </c>
      <c r="T22" s="146">
        <v>91.8</v>
      </c>
      <c r="U22" s="146">
        <v>839</v>
      </c>
      <c r="V22" s="146">
        <f t="shared" si="0"/>
        <v>9.1394335511982572</v>
      </c>
      <c r="W22" s="10"/>
      <c r="X22" s="146"/>
      <c r="Y22" s="146"/>
      <c r="Z22" s="146"/>
      <c r="AA22" s="10"/>
      <c r="AB22" s="146">
        <f>+U22</f>
        <v>839</v>
      </c>
      <c r="AC22" s="146"/>
      <c r="AD22" s="146">
        <f t="shared" si="4"/>
        <v>839</v>
      </c>
      <c r="AE22" s="59"/>
      <c r="AF22" s="147">
        <f t="shared" si="21"/>
        <v>0</v>
      </c>
      <c r="AG22" s="59"/>
      <c r="AH22" s="147">
        <f t="shared" si="1"/>
        <v>0</v>
      </c>
      <c r="AI22" s="146"/>
      <c r="AK22" s="147">
        <f t="shared" si="2"/>
        <v>0</v>
      </c>
      <c r="AL22" s="6"/>
      <c r="AM22" s="147">
        <f t="shared" si="6"/>
        <v>731.77662541167183</v>
      </c>
      <c r="AN22" s="147">
        <f t="shared" si="17"/>
        <v>850</v>
      </c>
      <c r="AO22" s="147">
        <f t="shared" si="11"/>
        <v>118.22337458832817</v>
      </c>
      <c r="AP22" s="231">
        <f t="shared" si="7"/>
        <v>0.15595544770563946</v>
      </c>
      <c r="AQ22" s="12">
        <f t="shared" si="3"/>
        <v>99189.411279607331</v>
      </c>
      <c r="AR22" t="s">
        <v>347</v>
      </c>
      <c r="AT22" s="237">
        <f t="shared" si="8"/>
        <v>613960.58872039267</v>
      </c>
      <c r="AU22" s="147">
        <f t="shared" si="20"/>
        <v>0</v>
      </c>
      <c r="AV22" s="147">
        <f t="shared" si="10"/>
        <v>0</v>
      </c>
    </row>
    <row r="23" spans="1:48" x14ac:dyDescent="0.15">
      <c r="B23" s="6"/>
      <c r="C23" s="6"/>
      <c r="D23" s="6"/>
      <c r="E23" s="146">
        <f>+E14+E18</f>
        <v>19997</v>
      </c>
      <c r="H23" s="6"/>
      <c r="J23" s="239"/>
      <c r="L23" s="6"/>
      <c r="M23" s="6"/>
      <c r="O23" s="6"/>
      <c r="R23" s="2"/>
      <c r="S23" t="s">
        <v>348</v>
      </c>
      <c r="T23" s="146">
        <v>33.653568</v>
      </c>
      <c r="U23" s="146">
        <v>310</v>
      </c>
      <c r="V23" s="146">
        <f t="shared" si="0"/>
        <v>9.2115047058308939</v>
      </c>
      <c r="W23" s="146"/>
      <c r="X23" s="146"/>
      <c r="Y23" s="146"/>
      <c r="Z23" s="146"/>
      <c r="AA23" s="10"/>
      <c r="AB23" s="146">
        <f>+U23</f>
        <v>310</v>
      </c>
      <c r="AC23" s="146"/>
      <c r="AD23" s="146">
        <f t="shared" si="4"/>
        <v>310</v>
      </c>
      <c r="AE23" s="59"/>
      <c r="AF23" s="147">
        <f t="shared" si="21"/>
        <v>0</v>
      </c>
      <c r="AG23" s="59"/>
      <c r="AH23" s="147">
        <f t="shared" si="1"/>
        <v>0</v>
      </c>
      <c r="AI23" s="146"/>
      <c r="AK23" s="147">
        <f t="shared" si="2"/>
        <v>0</v>
      </c>
      <c r="AL23" s="6"/>
      <c r="AM23" s="147">
        <f t="shared" si="6"/>
        <v>731.77662541167183</v>
      </c>
      <c r="AN23" s="147">
        <f t="shared" si="17"/>
        <v>850</v>
      </c>
      <c r="AO23" s="147">
        <f t="shared" si="11"/>
        <v>118.22337458832817</v>
      </c>
      <c r="AP23" s="231">
        <f t="shared" si="7"/>
        <v>0.15595544770563946</v>
      </c>
      <c r="AQ23" s="12">
        <f t="shared" si="3"/>
        <v>36649.24612238173</v>
      </c>
      <c r="AR23" t="s">
        <v>348</v>
      </c>
      <c r="AT23" s="237">
        <f t="shared" si="8"/>
        <v>226850.75387761826</v>
      </c>
      <c r="AU23" s="147">
        <f t="shared" si="20"/>
        <v>0</v>
      </c>
      <c r="AV23" s="147">
        <f t="shared" si="10"/>
        <v>0</v>
      </c>
    </row>
    <row r="24" spans="1:48" x14ac:dyDescent="0.15">
      <c r="A24" s="21" t="s">
        <v>60</v>
      </c>
      <c r="B24" s="6"/>
      <c r="C24" s="6">
        <f>SUM(G14:G20)</f>
        <v>157.52000000000001</v>
      </c>
      <c r="E24" s="147">
        <f>+(+E14/E23*H14)+(E18/E23*H18)</f>
        <v>959.41104835725355</v>
      </c>
      <c r="F24" t="s">
        <v>72</v>
      </c>
      <c r="G24" s="2" t="s">
        <v>507</v>
      </c>
      <c r="H24" s="147">
        <f>+L32</f>
        <v>700</v>
      </c>
      <c r="K24" s="24"/>
      <c r="L24" s="6"/>
      <c r="Q24" s="146">
        <f>SUM(AD10:AD24)</f>
        <v>7690</v>
      </c>
      <c r="R24" s="2"/>
      <c r="S24" t="s">
        <v>349</v>
      </c>
      <c r="T24" s="146">
        <v>51.092033999999998</v>
      </c>
      <c r="U24" s="146">
        <v>465</v>
      </c>
      <c r="V24" s="146">
        <f t="shared" si="0"/>
        <v>9.1012230986928415</v>
      </c>
      <c r="W24" s="146"/>
      <c r="X24" s="146"/>
      <c r="Y24" s="146"/>
      <c r="Z24" s="146"/>
      <c r="AA24" s="10"/>
      <c r="AB24" s="146">
        <f>+U24</f>
        <v>465</v>
      </c>
      <c r="AC24" s="146"/>
      <c r="AD24" s="146">
        <f t="shared" si="4"/>
        <v>465</v>
      </c>
      <c r="AE24" s="59"/>
      <c r="AF24" s="147">
        <f t="shared" si="21"/>
        <v>0</v>
      </c>
      <c r="AG24" s="59"/>
      <c r="AH24" s="147">
        <f t="shared" si="1"/>
        <v>0</v>
      </c>
      <c r="AI24" s="146"/>
      <c r="AK24" s="147">
        <f t="shared" si="2"/>
        <v>0</v>
      </c>
      <c r="AL24" s="6"/>
      <c r="AM24" s="147">
        <f t="shared" si="6"/>
        <v>731.77662541167183</v>
      </c>
      <c r="AN24" s="147">
        <f t="shared" si="17"/>
        <v>850</v>
      </c>
      <c r="AO24" s="147">
        <f t="shared" si="11"/>
        <v>118.22337458832817</v>
      </c>
      <c r="AP24" s="231">
        <f t="shared" si="7"/>
        <v>0.15595544770563946</v>
      </c>
      <c r="AQ24" s="12">
        <f t="shared" si="3"/>
        <v>54973.869183572599</v>
      </c>
      <c r="AR24" t="s">
        <v>349</v>
      </c>
      <c r="AT24" s="237">
        <f t="shared" si="8"/>
        <v>340276.13081642741</v>
      </c>
      <c r="AU24" s="147">
        <f t="shared" si="20"/>
        <v>0</v>
      </c>
      <c r="AV24" s="147">
        <f t="shared" si="10"/>
        <v>0</v>
      </c>
    </row>
    <row r="25" spans="1:48" x14ac:dyDescent="0.15">
      <c r="B25" s="6"/>
      <c r="C25" s="6"/>
      <c r="D25" s="6"/>
      <c r="E25" s="10"/>
      <c r="N25" s="10"/>
      <c r="R25" s="2"/>
      <c r="S25" t="s">
        <v>350</v>
      </c>
      <c r="T25" s="146">
        <v>18</v>
      </c>
      <c r="U25" s="146">
        <f>80+132</f>
        <v>212</v>
      </c>
      <c r="V25" s="146">
        <f t="shared" si="0"/>
        <v>11.777777777777779</v>
      </c>
      <c r="W25" s="146">
        <v>80</v>
      </c>
      <c r="X25" s="146"/>
      <c r="Y25" s="146"/>
      <c r="Z25" s="146"/>
      <c r="AA25" s="10"/>
      <c r="AB25" s="146">
        <v>132</v>
      </c>
      <c r="AC25" s="146"/>
      <c r="AD25" s="146">
        <f t="shared" si="4"/>
        <v>212</v>
      </c>
      <c r="AE25" s="59">
        <v>0.2</v>
      </c>
      <c r="AF25" s="147">
        <f t="shared" si="21"/>
        <v>122.64150943396227</v>
      </c>
      <c r="AG25" s="59"/>
      <c r="AH25" s="147">
        <f t="shared" si="1"/>
        <v>0</v>
      </c>
      <c r="AI25" s="146"/>
      <c r="AK25" s="147">
        <f t="shared" si="2"/>
        <v>0</v>
      </c>
      <c r="AL25" s="6"/>
      <c r="AM25" s="147">
        <f>+(($AB$7*0.83)+($W$7*0.17))+AF25+AK25+AH25</f>
        <v>826.71889453187759</v>
      </c>
      <c r="AN25" s="147">
        <f>+($AB$2*0.83+$W$3*0.17)</f>
        <v>807.5915688</v>
      </c>
      <c r="AO25" s="147">
        <f t="shared" si="11"/>
        <v>-19.12732573187759</v>
      </c>
      <c r="AP25" s="231">
        <f t="shared" si="7"/>
        <v>-2.5231986976466083E-2</v>
      </c>
      <c r="AQ25" s="12">
        <f t="shared" si="3"/>
        <v>-4054.9930551580492</v>
      </c>
      <c r="AR25" t="s">
        <v>350</v>
      </c>
      <c r="AT25" s="237">
        <f t="shared" si="8"/>
        <v>175264.40564075805</v>
      </c>
      <c r="AU25" s="147">
        <f t="shared" si="20"/>
        <v>0</v>
      </c>
      <c r="AV25" s="147">
        <f t="shared" si="10"/>
        <v>26000</v>
      </c>
    </row>
    <row r="26" spans="1:48" x14ac:dyDescent="0.15">
      <c r="A26" s="24" t="s">
        <v>73</v>
      </c>
      <c r="B26" s="6"/>
      <c r="C26" s="6">
        <f>+C22-C24</f>
        <v>600.53863999999999</v>
      </c>
      <c r="D26" s="6"/>
      <c r="F26" s="19" t="s">
        <v>494</v>
      </c>
      <c r="G26" s="19" t="s">
        <v>495</v>
      </c>
      <c r="R26" s="2"/>
      <c r="S26" t="s">
        <v>351</v>
      </c>
      <c r="T26" s="146">
        <v>16</v>
      </c>
      <c r="U26" s="146">
        <f>68+93</f>
        <v>161</v>
      </c>
      <c r="V26" s="10">
        <f t="shared" si="0"/>
        <v>10.0625</v>
      </c>
      <c r="W26" s="146">
        <v>93</v>
      </c>
      <c r="AA26" s="10"/>
      <c r="AB26" s="146">
        <v>68</v>
      </c>
      <c r="AC26" s="146"/>
      <c r="AD26" s="146">
        <f t="shared" si="4"/>
        <v>161</v>
      </c>
      <c r="AE26" s="59"/>
      <c r="AF26" s="147">
        <f t="shared" si="21"/>
        <v>0</v>
      </c>
      <c r="AG26" s="59"/>
      <c r="AH26" s="147">
        <f t="shared" si="1"/>
        <v>0</v>
      </c>
      <c r="AI26" s="146"/>
      <c r="AJ26">
        <v>0.2</v>
      </c>
      <c r="AK26" s="147">
        <f t="shared" si="2"/>
        <v>24.844720496894411</v>
      </c>
      <c r="AL26" s="6"/>
      <c r="AM26" s="147">
        <f>+(($AB$7*0.58)+($AA$7*0.42))+AF26+AK26+AH26</f>
        <v>661.62062305508402</v>
      </c>
      <c r="AN26" s="147">
        <f>+($AB$2*0.42+$W$3*0.58)</f>
        <v>705.31241120000004</v>
      </c>
      <c r="AO26" s="147">
        <f t="shared" si="11"/>
        <v>43.691788144916018</v>
      </c>
      <c r="AP26" s="231">
        <f t="shared" si="7"/>
        <v>5.7636422618857056E-2</v>
      </c>
      <c r="AQ26" s="12">
        <f t="shared" si="3"/>
        <v>7034.3778913314791</v>
      </c>
      <c r="AR26" t="s">
        <v>351</v>
      </c>
      <c r="AT26" s="237">
        <f t="shared" si="8"/>
        <v>106520.92031186853</v>
      </c>
      <c r="AU26" s="147"/>
      <c r="AV26" s="147">
        <f t="shared" si="10"/>
        <v>0</v>
      </c>
    </row>
    <row r="27" spans="1:48" x14ac:dyDescent="0.15">
      <c r="B27" s="6"/>
      <c r="C27" s="6"/>
      <c r="D27" s="6"/>
      <c r="F27" s="19" t="s">
        <v>496</v>
      </c>
      <c r="G27" s="19" t="s">
        <v>496</v>
      </c>
      <c r="K27" s="26" t="s">
        <v>75</v>
      </c>
      <c r="L27" s="230" t="s">
        <v>503</v>
      </c>
      <c r="M27" s="26" t="s">
        <v>77</v>
      </c>
      <c r="N27" s="26" t="s">
        <v>315</v>
      </c>
      <c r="O27" s="26" t="s">
        <v>233</v>
      </c>
      <c r="R27" s="2"/>
      <c r="S27" t="s">
        <v>352</v>
      </c>
      <c r="T27" s="146">
        <v>33</v>
      </c>
      <c r="U27" s="146">
        <f>164+52</f>
        <v>216</v>
      </c>
      <c r="V27" s="10">
        <f t="shared" si="0"/>
        <v>6.5454545454545459</v>
      </c>
      <c r="W27" s="146"/>
      <c r="AB27" s="146">
        <f>+U27</f>
        <v>216</v>
      </c>
      <c r="AC27" s="146"/>
      <c r="AD27" s="146">
        <f t="shared" si="4"/>
        <v>216</v>
      </c>
      <c r="AE27" s="59"/>
      <c r="AF27" s="147">
        <f t="shared" si="21"/>
        <v>0</v>
      </c>
      <c r="AG27" s="59"/>
      <c r="AH27" s="147">
        <f t="shared" si="1"/>
        <v>0</v>
      </c>
      <c r="AI27" s="146"/>
      <c r="AK27" s="147">
        <f t="shared" si="2"/>
        <v>0</v>
      </c>
      <c r="AL27" s="6"/>
      <c r="AM27" s="147">
        <f t="shared" si="6"/>
        <v>731.77662541167183</v>
      </c>
      <c r="AN27" s="147">
        <f t="shared" si="17"/>
        <v>850</v>
      </c>
      <c r="AO27" s="147">
        <f t="shared" si="11"/>
        <v>118.22337458832817</v>
      </c>
      <c r="AP27" s="231">
        <f t="shared" si="7"/>
        <v>0.15595544770563946</v>
      </c>
      <c r="AQ27" s="12">
        <f t="shared" si="3"/>
        <v>25536.248911078885</v>
      </c>
      <c r="AR27" t="s">
        <v>352</v>
      </c>
      <c r="AT27" s="237">
        <f t="shared" si="8"/>
        <v>158063.75108892113</v>
      </c>
      <c r="AU27" s="147">
        <f t="shared" si="20"/>
        <v>0</v>
      </c>
      <c r="AV27" s="147">
        <f t="shared" si="10"/>
        <v>0</v>
      </c>
    </row>
    <row r="28" spans="1:48" x14ac:dyDescent="0.15">
      <c r="A28" s="9" t="s">
        <v>78</v>
      </c>
      <c r="B28" s="6"/>
      <c r="C28" s="6"/>
      <c r="D28" s="6"/>
      <c r="E28" s="26" t="s">
        <v>489</v>
      </c>
      <c r="F28" s="29">
        <f>+AD169</f>
        <v>57568.409999999996</v>
      </c>
      <c r="G28" s="9"/>
      <c r="H28" s="26"/>
      <c r="I28" s="26" t="s">
        <v>121</v>
      </c>
      <c r="J28" s="26" t="s">
        <v>122</v>
      </c>
      <c r="K28" s="26" t="s">
        <v>23</v>
      </c>
      <c r="L28" s="26" t="s">
        <v>123</v>
      </c>
      <c r="M28" s="26" t="s">
        <v>23</v>
      </c>
      <c r="N28" s="26" t="s">
        <v>23</v>
      </c>
      <c r="O28" s="26" t="s">
        <v>23</v>
      </c>
      <c r="P28" s="26" t="s">
        <v>124</v>
      </c>
      <c r="Q28" s="26"/>
      <c r="S28" t="s">
        <v>353</v>
      </c>
      <c r="T28" s="146">
        <v>14.8</v>
      </c>
      <c r="U28" s="146">
        <v>95</v>
      </c>
      <c r="V28" s="10">
        <f t="shared" si="0"/>
        <v>6.4189189189189184</v>
      </c>
      <c r="W28" s="10"/>
      <c r="X28" s="146"/>
      <c r="Y28" s="146"/>
      <c r="Z28" s="146"/>
      <c r="AA28" s="10"/>
      <c r="AB28" s="146">
        <f>+U28</f>
        <v>95</v>
      </c>
      <c r="AD28" s="146">
        <f t="shared" si="4"/>
        <v>95</v>
      </c>
      <c r="AE28" s="59"/>
      <c r="AF28" s="147">
        <f t="shared" si="21"/>
        <v>0</v>
      </c>
      <c r="AG28" s="59"/>
      <c r="AH28" s="147">
        <f t="shared" si="1"/>
        <v>0</v>
      </c>
      <c r="AI28" s="146"/>
      <c r="AJ28">
        <v>0.2</v>
      </c>
      <c r="AK28" s="147">
        <f t="shared" si="2"/>
        <v>42.10526315789474</v>
      </c>
      <c r="AL28" s="6"/>
      <c r="AM28" s="147">
        <f t="shared" si="6"/>
        <v>773.88188856956663</v>
      </c>
      <c r="AN28" s="147">
        <f t="shared" si="17"/>
        <v>850</v>
      </c>
      <c r="AO28" s="147">
        <f t="shared" si="11"/>
        <v>76.118111430433373</v>
      </c>
      <c r="AP28" s="231">
        <f t="shared" si="7"/>
        <v>0.100411904058548</v>
      </c>
      <c r="AQ28" s="12">
        <f t="shared" si="3"/>
        <v>7231.2205858911702</v>
      </c>
      <c r="AR28" t="s">
        <v>353</v>
      </c>
      <c r="AT28" s="237">
        <f t="shared" si="8"/>
        <v>73518.779414108823</v>
      </c>
      <c r="AU28" s="147"/>
      <c r="AV28" s="147">
        <f t="shared" si="10"/>
        <v>0</v>
      </c>
    </row>
    <row r="29" spans="1:48" x14ac:dyDescent="0.15">
      <c r="A29" s="9"/>
      <c r="B29" s="6"/>
      <c r="C29" s="6"/>
      <c r="D29" s="6"/>
      <c r="E29" s="2" t="s">
        <v>23</v>
      </c>
      <c r="F29" s="2" t="s">
        <v>58</v>
      </c>
      <c r="H29" s="2"/>
      <c r="I29" s="2"/>
      <c r="K29" s="2"/>
      <c r="S29" t="s">
        <v>354</v>
      </c>
      <c r="T29" s="146">
        <v>16.8</v>
      </c>
      <c r="U29" s="146">
        <v>103</v>
      </c>
      <c r="V29" s="146">
        <f t="shared" ref="V29:V141" si="22">+U29/T29</f>
        <v>6.1309523809523805</v>
      </c>
      <c r="W29" s="10"/>
      <c r="X29" s="146"/>
      <c r="Y29" s="146"/>
      <c r="Z29" s="146"/>
      <c r="AA29" s="10"/>
      <c r="AB29" s="146">
        <f>+U29</f>
        <v>103</v>
      </c>
      <c r="AC29" s="146"/>
      <c r="AD29" s="146">
        <f t="shared" si="4"/>
        <v>103</v>
      </c>
      <c r="AE29" s="59"/>
      <c r="AF29" s="147">
        <f t="shared" si="21"/>
        <v>0</v>
      </c>
      <c r="AG29" s="59"/>
      <c r="AH29" s="147">
        <f t="shared" si="1"/>
        <v>0</v>
      </c>
      <c r="AI29" s="147"/>
      <c r="AK29" s="147">
        <f t="shared" si="2"/>
        <v>0</v>
      </c>
      <c r="AL29" s="6"/>
      <c r="AM29" s="147">
        <f t="shared" si="6"/>
        <v>731.77662541167183</v>
      </c>
      <c r="AN29" s="147">
        <f t="shared" si="17"/>
        <v>850</v>
      </c>
      <c r="AO29" s="147">
        <f t="shared" ref="AO29:AO92" si="23">+AN29-AM29</f>
        <v>118.22337458832817</v>
      </c>
      <c r="AP29" s="231">
        <f>+(AO29)/$C$22</f>
        <v>0.15595544770563946</v>
      </c>
      <c r="AQ29" s="12">
        <f t="shared" si="3"/>
        <v>12177.007582597802</v>
      </c>
      <c r="AR29" t="s">
        <v>354</v>
      </c>
      <c r="AT29" s="237">
        <f t="shared" si="8"/>
        <v>75372.992417402202</v>
      </c>
      <c r="AU29" s="147">
        <f t="shared" si="20"/>
        <v>0</v>
      </c>
      <c r="AV29" s="147">
        <f t="shared" si="10"/>
        <v>0</v>
      </c>
    </row>
    <row r="30" spans="1:48" x14ac:dyDescent="0.15">
      <c r="A30" s="9"/>
      <c r="B30" s="6"/>
      <c r="C30" s="6"/>
      <c r="D30" s="6"/>
      <c r="E30" s="2"/>
      <c r="F30" s="2"/>
      <c r="H30" s="30"/>
      <c r="I30" s="10">
        <f>+T169</f>
        <v>5311.3157410000013</v>
      </c>
      <c r="J30" s="10">
        <f>+P30/I30</f>
        <v>10.838822771466637</v>
      </c>
      <c r="K30" s="31">
        <f>+W169</f>
        <v>21502</v>
      </c>
      <c r="L30" s="10">
        <f>+AA169</f>
        <v>523</v>
      </c>
      <c r="M30" s="10">
        <f>+AB169</f>
        <v>23162.41</v>
      </c>
      <c r="N30" s="31">
        <f>+Y169</f>
        <v>3064</v>
      </c>
      <c r="O30" s="31">
        <f>+Z169</f>
        <v>9317</v>
      </c>
      <c r="P30" s="10">
        <f>SUM(K30:O30)</f>
        <v>57568.41</v>
      </c>
      <c r="Q30" s="146"/>
      <c r="S30" t="s">
        <v>355</v>
      </c>
      <c r="T30" s="146">
        <v>15</v>
      </c>
      <c r="U30" s="146">
        <v>396</v>
      </c>
      <c r="V30" s="146">
        <f t="shared" si="22"/>
        <v>26.4</v>
      </c>
      <c r="W30" s="146">
        <v>340</v>
      </c>
      <c r="X30" s="146"/>
      <c r="Y30" s="146"/>
      <c r="Z30" s="146"/>
      <c r="AA30" s="10"/>
      <c r="AB30" s="146">
        <v>56</v>
      </c>
      <c r="AC30" s="146"/>
      <c r="AD30" s="146">
        <f t="shared" si="4"/>
        <v>396</v>
      </c>
      <c r="AE30" s="144"/>
      <c r="AF30" s="147">
        <f t="shared" si="21"/>
        <v>0</v>
      </c>
      <c r="AG30" s="59"/>
      <c r="AH30" s="147">
        <f t="shared" si="1"/>
        <v>0</v>
      </c>
      <c r="AI30" s="147"/>
      <c r="AK30" s="147">
        <f t="shared" si="2"/>
        <v>0</v>
      </c>
      <c r="AL30" s="6"/>
      <c r="AM30" s="147">
        <f>+(($AB$7*0.14)+($W$7*0.86))+AF30+AK30+AH30</f>
        <v>591.65105676560961</v>
      </c>
      <c r="AN30" s="147">
        <f>+W3*0.86+AB2*0.14</f>
        <v>635.46323039999993</v>
      </c>
      <c r="AO30" s="147">
        <f t="shared" si="23"/>
        <v>43.812173634390319</v>
      </c>
      <c r="AP30" s="231">
        <f t="shared" si="7"/>
        <v>5.7795230240223004E-2</v>
      </c>
      <c r="AQ30" s="12">
        <f t="shared" si="3"/>
        <v>17349.620759218567</v>
      </c>
      <c r="AR30" t="s">
        <v>355</v>
      </c>
      <c r="AT30" s="237">
        <f t="shared" si="8"/>
        <v>234293.81847918141</v>
      </c>
      <c r="AU30" s="147">
        <f t="shared" si="20"/>
        <v>0</v>
      </c>
      <c r="AV30" s="147">
        <f t="shared" si="10"/>
        <v>0</v>
      </c>
    </row>
    <row r="31" spans="1:48" x14ac:dyDescent="0.15">
      <c r="A31" s="14" t="s">
        <v>125</v>
      </c>
      <c r="B31" s="6"/>
      <c r="C31" s="6">
        <f t="shared" ref="C31:C36" si="24">+C207</f>
        <v>70.777126099706749</v>
      </c>
      <c r="D31" s="6"/>
      <c r="E31" s="10">
        <f>+F28-E37</f>
        <v>34406</v>
      </c>
      <c r="F31" s="6">
        <f>+E31*C31</f>
        <v>2435157.8005865104</v>
      </c>
      <c r="J31" t="s">
        <v>126</v>
      </c>
      <c r="K31" s="4">
        <f>+K30/$P$30</f>
        <v>0.37350345441189009</v>
      </c>
      <c r="L31" s="232">
        <f>+L30/$P$30</f>
        <v>9.0848435800120232E-3</v>
      </c>
      <c r="M31" s="4">
        <f>+M30/$P$30</f>
        <v>0.40234583515507893</v>
      </c>
      <c r="N31" s="4">
        <f>+N30/P30</f>
        <v>5.3223634281370627E-2</v>
      </c>
      <c r="O31" s="4">
        <f>+O30/P30</f>
        <v>0.16184223257164823</v>
      </c>
      <c r="P31" s="236">
        <f>SUM(K31:O31)</f>
        <v>0.99999999999999989</v>
      </c>
      <c r="Q31" s="236"/>
      <c r="S31" t="s">
        <v>356</v>
      </c>
      <c r="T31" s="146">
        <v>19</v>
      </c>
      <c r="U31" s="146">
        <f>227+165</f>
        <v>392</v>
      </c>
      <c r="V31" s="146">
        <f t="shared" si="22"/>
        <v>20.631578947368421</v>
      </c>
      <c r="W31" s="146">
        <f>+U31*$U$3</f>
        <v>392</v>
      </c>
      <c r="X31" s="146"/>
      <c r="Y31" s="146"/>
      <c r="Z31" s="146"/>
      <c r="AA31" s="10"/>
      <c r="AB31" s="146"/>
      <c r="AC31" s="146"/>
      <c r="AD31" s="146">
        <f t="shared" si="4"/>
        <v>392</v>
      </c>
      <c r="AE31" s="59">
        <v>0.5</v>
      </c>
      <c r="AF31" s="147">
        <f t="shared" si="21"/>
        <v>165.81632653061226</v>
      </c>
      <c r="AG31" s="59"/>
      <c r="AH31" s="147">
        <f t="shared" si="1"/>
        <v>0</v>
      </c>
      <c r="AI31" s="147"/>
      <c r="AJ31">
        <v>0.25</v>
      </c>
      <c r="AK31" s="147">
        <f t="shared" si="2"/>
        <v>12.755102040816327</v>
      </c>
      <c r="AL31" s="6"/>
      <c r="AM31" s="147">
        <f>+$W$7+AF31+AK31+AH31</f>
        <v>747.4113462551212</v>
      </c>
      <c r="AN31" s="147">
        <f>+W3</f>
        <v>600.53863999999999</v>
      </c>
      <c r="AO31" s="147">
        <f t="shared" si="23"/>
        <v>-146.87270625512122</v>
      </c>
      <c r="AP31" s="231">
        <f t="shared" si="7"/>
        <v>-0.19374847604813425</v>
      </c>
      <c r="AQ31" s="12">
        <f t="shared" si="3"/>
        <v>-57574.100852007519</v>
      </c>
      <c r="AR31" t="s">
        <v>356</v>
      </c>
      <c r="AT31" s="237">
        <f t="shared" si="8"/>
        <v>292985.24773200753</v>
      </c>
      <c r="AU31" s="147">
        <f t="shared" si="20"/>
        <v>0</v>
      </c>
      <c r="AV31" s="147">
        <f t="shared" si="10"/>
        <v>65000.000000000007</v>
      </c>
    </row>
    <row r="32" spans="1:48" x14ac:dyDescent="0.15">
      <c r="A32" s="14" t="s">
        <v>75</v>
      </c>
      <c r="B32" s="6"/>
      <c r="C32" s="6">
        <f t="shared" si="24"/>
        <v>231.28616617231395</v>
      </c>
      <c r="D32" s="6"/>
      <c r="E32" s="10">
        <f>+W169</f>
        <v>21502</v>
      </c>
      <c r="F32" s="6">
        <f t="shared" ref="F32:F44" si="25">+E32*C32</f>
        <v>4973115.1450370951</v>
      </c>
      <c r="I32" s="10"/>
      <c r="J32" t="s">
        <v>127</v>
      </c>
      <c r="K32" s="6">
        <f>+C26</f>
        <v>600.53863999999999</v>
      </c>
      <c r="L32" s="6">
        <v>700</v>
      </c>
      <c r="M32" s="6">
        <f>+AB2</f>
        <v>850</v>
      </c>
      <c r="N32" s="147">
        <f>+C26</f>
        <v>600.53863999999999</v>
      </c>
      <c r="O32" s="147">
        <f>+C26</f>
        <v>600.53863999999999</v>
      </c>
      <c r="P32" s="6">
        <f>SUM(K33:O33)</f>
        <v>701.81197012597704</v>
      </c>
      <c r="Q32" s="147"/>
      <c r="S32" t="s">
        <v>357</v>
      </c>
      <c r="T32" s="146">
        <v>30</v>
      </c>
      <c r="U32" s="146">
        <f>25+109+117</f>
        <v>251</v>
      </c>
      <c r="V32" s="146">
        <f t="shared" si="22"/>
        <v>8.3666666666666671</v>
      </c>
      <c r="W32" s="146"/>
      <c r="X32" s="146"/>
      <c r="Y32" s="146"/>
      <c r="Z32" s="146"/>
      <c r="AA32" s="10"/>
      <c r="AB32" s="146">
        <v>251</v>
      </c>
      <c r="AC32" s="146"/>
      <c r="AD32" s="146">
        <f t="shared" si="4"/>
        <v>251</v>
      </c>
      <c r="AE32" s="59"/>
      <c r="AF32" s="147">
        <f t="shared" si="21"/>
        <v>0</v>
      </c>
      <c r="AG32" s="59"/>
      <c r="AH32" s="147">
        <f t="shared" si="1"/>
        <v>0</v>
      </c>
      <c r="AI32" s="147"/>
      <c r="AK32" s="147">
        <f t="shared" si="2"/>
        <v>0</v>
      </c>
      <c r="AL32" s="6"/>
      <c r="AM32" s="147">
        <f t="shared" si="6"/>
        <v>731.77662541167183</v>
      </c>
      <c r="AN32" s="147">
        <f>+$AB$2</f>
        <v>850</v>
      </c>
      <c r="AO32" s="147">
        <f t="shared" si="23"/>
        <v>118.22337458832817</v>
      </c>
      <c r="AP32" s="231">
        <f t="shared" si="7"/>
        <v>0.15595544770563946</v>
      </c>
      <c r="AQ32" s="12">
        <f t="shared" si="3"/>
        <v>29674.067021670369</v>
      </c>
      <c r="AR32" t="s">
        <v>357</v>
      </c>
      <c r="AT32" s="237">
        <f t="shared" si="8"/>
        <v>183675.93297832963</v>
      </c>
      <c r="AU32" s="147">
        <f t="shared" si="20"/>
        <v>0</v>
      </c>
      <c r="AV32" s="147">
        <f t="shared" si="10"/>
        <v>0</v>
      </c>
    </row>
    <row r="33" spans="1:48" x14ac:dyDescent="0.15">
      <c r="A33" s="14" t="s">
        <v>128</v>
      </c>
      <c r="B33" s="6"/>
      <c r="C33" s="6">
        <f t="shared" si="24"/>
        <v>302.16518042266011</v>
      </c>
      <c r="D33" s="6"/>
      <c r="E33" s="10">
        <f>+X169</f>
        <v>0</v>
      </c>
      <c r="F33" s="6">
        <f t="shared" si="25"/>
        <v>0</v>
      </c>
      <c r="I33" s="10"/>
      <c r="J33" t="s">
        <v>129</v>
      </c>
      <c r="K33" s="6">
        <f>+K32*K31</f>
        <v>224.30325654781848</v>
      </c>
      <c r="L33" s="6">
        <f>+L32*L31</f>
        <v>6.3593905060084159</v>
      </c>
      <c r="M33" s="6">
        <f>+M32*M31</f>
        <v>341.99395988181709</v>
      </c>
      <c r="N33" s="147">
        <f>+N32*N31</f>
        <v>31.962848947191691</v>
      </c>
      <c r="O33" s="147">
        <f>+O32*O31</f>
        <v>97.192514243141332</v>
      </c>
      <c r="S33" t="s">
        <v>358</v>
      </c>
      <c r="T33" s="146">
        <v>38.6</v>
      </c>
      <c r="U33" s="146">
        <v>249</v>
      </c>
      <c r="V33" s="146">
        <f t="shared" si="22"/>
        <v>6.4507772020725387</v>
      </c>
      <c r="W33" s="10">
        <v>64</v>
      </c>
      <c r="X33" s="146"/>
      <c r="Y33" s="146"/>
      <c r="Z33" s="146"/>
      <c r="AA33" s="10">
        <v>37</v>
      </c>
      <c r="AB33" s="146">
        <v>148</v>
      </c>
      <c r="AC33" s="146"/>
      <c r="AD33" s="146">
        <f t="shared" si="4"/>
        <v>249</v>
      </c>
      <c r="AE33" s="59"/>
      <c r="AF33" s="147">
        <f t="shared" si="21"/>
        <v>0</v>
      </c>
      <c r="AG33" s="59"/>
      <c r="AH33" s="147">
        <f t="shared" si="1"/>
        <v>0</v>
      </c>
      <c r="AI33" s="147"/>
      <c r="AK33" s="147">
        <f t="shared" si="2"/>
        <v>0</v>
      </c>
      <c r="AL33" s="6"/>
      <c r="AM33" s="147">
        <f>+(($AB$7*0.6)+($AA$7*0.15)+($W$7*0.25)+AF33+AK33+AH33)</f>
        <v>657.11361888914769</v>
      </c>
      <c r="AN33" s="147">
        <f>+AB2*0.6+W3*0.25+AA3*0.15</f>
        <v>765.13465999999994</v>
      </c>
      <c r="AO33" s="147">
        <f t="shared" si="23"/>
        <v>108.02104111085225</v>
      </c>
      <c r="AP33" s="231">
        <f t="shared" si="7"/>
        <v>0.14249694602894078</v>
      </c>
      <c r="AQ33" s="12">
        <f t="shared" si="3"/>
        <v>26897.23923660221</v>
      </c>
      <c r="AR33" t="s">
        <v>358</v>
      </c>
      <c r="AT33" s="237">
        <f t="shared" si="8"/>
        <v>163621.29110339779</v>
      </c>
      <c r="AU33" s="147">
        <f t="shared" si="20"/>
        <v>0</v>
      </c>
      <c r="AV33" s="147">
        <f t="shared" si="10"/>
        <v>0</v>
      </c>
    </row>
    <row r="34" spans="1:48" x14ac:dyDescent="0.15">
      <c r="A34" t="s">
        <v>130</v>
      </c>
      <c r="B34" s="6"/>
      <c r="C34" s="6">
        <f t="shared" si="24"/>
        <v>255.26740402883118</v>
      </c>
      <c r="D34" s="6"/>
      <c r="E34" s="10">
        <f>+Y169</f>
        <v>3064</v>
      </c>
      <c r="F34" s="147">
        <f t="shared" si="25"/>
        <v>782139.32594433869</v>
      </c>
      <c r="I34" s="10"/>
      <c r="K34" s="10"/>
      <c r="M34" s="10"/>
      <c r="N34" s="144"/>
      <c r="P34" s="147">
        <f>+P30*P32</f>
        <v>40402199.239119999</v>
      </c>
      <c r="Q34" s="147"/>
      <c r="S34" t="s">
        <v>359</v>
      </c>
      <c r="T34" s="146">
        <v>43</v>
      </c>
      <c r="U34" s="146">
        <v>390</v>
      </c>
      <c r="V34" s="10">
        <f t="shared" si="22"/>
        <v>9.0697674418604652</v>
      </c>
      <c r="W34" s="146"/>
      <c r="X34" s="146"/>
      <c r="Y34" s="146"/>
      <c r="Z34" s="146"/>
      <c r="AA34" s="10"/>
      <c r="AB34" s="146">
        <f>+U34</f>
        <v>390</v>
      </c>
      <c r="AC34" s="146"/>
      <c r="AD34" s="146">
        <f t="shared" si="4"/>
        <v>390</v>
      </c>
      <c r="AE34" s="59"/>
      <c r="AF34" s="147">
        <f t="shared" si="21"/>
        <v>0</v>
      </c>
      <c r="AG34" s="59"/>
      <c r="AH34" s="147">
        <f t="shared" si="1"/>
        <v>0</v>
      </c>
      <c r="AI34" s="147"/>
      <c r="AK34" s="147">
        <f t="shared" ref="AK34:AK95" si="26">+AJ34*$AK$7/AD34</f>
        <v>0</v>
      </c>
      <c r="AL34" s="6"/>
      <c r="AM34" s="147">
        <f t="shared" si="6"/>
        <v>731.77662541167183</v>
      </c>
      <c r="AN34" s="147">
        <f>+$AB$2</f>
        <v>850</v>
      </c>
      <c r="AO34" s="147">
        <f t="shared" si="23"/>
        <v>118.22337458832817</v>
      </c>
      <c r="AP34" s="231">
        <f t="shared" si="7"/>
        <v>0.15595544770563946</v>
      </c>
      <c r="AQ34" s="12">
        <f t="shared" si="3"/>
        <v>46107.116089447984</v>
      </c>
      <c r="AR34" t="s">
        <v>359</v>
      </c>
      <c r="AT34" s="237">
        <f t="shared" si="8"/>
        <v>285392.88391055202</v>
      </c>
      <c r="AU34" s="147">
        <f t="shared" si="20"/>
        <v>0</v>
      </c>
      <c r="AV34" s="147">
        <f t="shared" si="10"/>
        <v>0</v>
      </c>
    </row>
    <row r="35" spans="1:48" x14ac:dyDescent="0.15">
      <c r="A35" t="s">
        <v>131</v>
      </c>
      <c r="B35" s="6"/>
      <c r="C35" s="6">
        <f>+C211</f>
        <v>90.043610901840367</v>
      </c>
      <c r="D35" s="6"/>
      <c r="E35" s="10">
        <f>+Z169</f>
        <v>9317</v>
      </c>
      <c r="F35" s="147">
        <f t="shared" si="25"/>
        <v>838936.32277244667</v>
      </c>
      <c r="I35" s="10"/>
      <c r="K35" s="10"/>
      <c r="M35" s="10"/>
      <c r="N35" s="144"/>
      <c r="P35" s="6">
        <f>+P34-F49</f>
        <v>523543.80078652501</v>
      </c>
      <c r="Q35" s="147"/>
      <c r="S35" t="s">
        <v>360</v>
      </c>
      <c r="T35" s="146">
        <v>26</v>
      </c>
      <c r="U35" s="146">
        <v>371</v>
      </c>
      <c r="V35" s="10">
        <f t="shared" si="22"/>
        <v>14.26923076923077</v>
      </c>
      <c r="W35" s="146"/>
      <c r="Z35" s="146">
        <f>43+171+157</f>
        <v>371</v>
      </c>
      <c r="AB35" s="146"/>
      <c r="AC35" s="146"/>
      <c r="AD35" s="146">
        <f t="shared" si="4"/>
        <v>371</v>
      </c>
      <c r="AE35" s="59"/>
      <c r="AF35" s="147">
        <f t="shared" si="21"/>
        <v>0</v>
      </c>
      <c r="AH35" s="147">
        <f t="shared" si="1"/>
        <v>0</v>
      </c>
      <c r="AI35" s="146"/>
      <c r="AJ35">
        <v>2.2999999999999998</v>
      </c>
      <c r="AK35" s="147">
        <f t="shared" si="26"/>
        <v>123.98921832884098</v>
      </c>
      <c r="AL35" s="6"/>
      <c r="AM35" s="147">
        <f>+$Z$7+AF35+AK35+AH35</f>
        <v>551.58658074205994</v>
      </c>
      <c r="AN35" s="147">
        <f>+Z3</f>
        <v>600.53863999999999</v>
      </c>
      <c r="AO35" s="147">
        <f t="shared" si="23"/>
        <v>48.95205925794005</v>
      </c>
      <c r="AP35" s="231">
        <f t="shared" si="7"/>
        <v>6.4575557450199439E-2</v>
      </c>
      <c r="AQ35" s="12">
        <f t="shared" si="3"/>
        <v>18161.213984695758</v>
      </c>
      <c r="AR35" t="s">
        <v>360</v>
      </c>
      <c r="AT35" s="237">
        <f t="shared" si="8"/>
        <v>204638.62145530424</v>
      </c>
      <c r="AU35" s="147">
        <f t="shared" si="20"/>
        <v>0</v>
      </c>
      <c r="AV35" s="147">
        <f t="shared" si="10"/>
        <v>0</v>
      </c>
    </row>
    <row r="36" spans="1:48" x14ac:dyDescent="0.15">
      <c r="A36" t="s">
        <v>132</v>
      </c>
      <c r="B36" s="6"/>
      <c r="C36" s="6">
        <f t="shared" si="24"/>
        <v>168.03067663009759</v>
      </c>
      <c r="D36" s="6"/>
      <c r="E36" s="10">
        <f>+AA169</f>
        <v>523</v>
      </c>
      <c r="F36" s="147">
        <f t="shared" si="25"/>
        <v>87880.043877541044</v>
      </c>
      <c r="I36" s="10"/>
      <c r="K36" s="10"/>
      <c r="M36" s="10"/>
      <c r="N36" s="144"/>
      <c r="S36" t="s">
        <v>361</v>
      </c>
      <c r="T36" s="146">
        <v>37.683782999999998</v>
      </c>
      <c r="U36" s="146">
        <f>288+133</f>
        <v>421</v>
      </c>
      <c r="V36" s="10">
        <f t="shared" si="22"/>
        <v>11.17191445455463</v>
      </c>
      <c r="W36" s="146"/>
      <c r="X36" s="146"/>
      <c r="Y36" s="146"/>
      <c r="Z36" s="146"/>
      <c r="AA36" s="10"/>
      <c r="AB36" s="146">
        <f>+U36</f>
        <v>421</v>
      </c>
      <c r="AD36" s="146">
        <f t="shared" si="4"/>
        <v>421</v>
      </c>
      <c r="AE36" s="59"/>
      <c r="AF36" s="147">
        <f t="shared" si="21"/>
        <v>0</v>
      </c>
      <c r="AG36" s="144"/>
      <c r="AH36" s="147">
        <f t="shared" si="1"/>
        <v>0</v>
      </c>
      <c r="AI36" s="146"/>
      <c r="AK36" s="147">
        <f t="shared" si="26"/>
        <v>0</v>
      </c>
      <c r="AL36" s="6"/>
      <c r="AM36" s="147">
        <f t="shared" si="6"/>
        <v>731.77662541167183</v>
      </c>
      <c r="AN36" s="147">
        <f>+AB2</f>
        <v>850</v>
      </c>
      <c r="AO36" s="147">
        <f t="shared" si="23"/>
        <v>118.22337458832817</v>
      </c>
      <c r="AP36" s="231">
        <f t="shared" si="7"/>
        <v>0.15595544770563946</v>
      </c>
      <c r="AQ36" s="12">
        <f t="shared" si="3"/>
        <v>49772.040701686157</v>
      </c>
      <c r="AR36" t="s">
        <v>361</v>
      </c>
      <c r="AT36" s="237">
        <f t="shared" si="8"/>
        <v>308077.95929831383</v>
      </c>
      <c r="AU36" s="147">
        <f t="shared" si="20"/>
        <v>0</v>
      </c>
      <c r="AV36" s="147">
        <f t="shared" si="10"/>
        <v>0</v>
      </c>
    </row>
    <row r="37" spans="1:48" x14ac:dyDescent="0.15">
      <c r="A37" s="14" t="s">
        <v>133</v>
      </c>
      <c r="B37" s="6"/>
      <c r="C37" s="6">
        <f>+D213</f>
        <v>465</v>
      </c>
      <c r="D37" s="6"/>
      <c r="E37" s="10">
        <f>+AB169</f>
        <v>23162.41</v>
      </c>
      <c r="F37" s="6">
        <f t="shared" si="25"/>
        <v>10770520.65</v>
      </c>
      <c r="H37" s="147">
        <f>SUM(F31:F37)</f>
        <v>19887749.288217932</v>
      </c>
      <c r="I37" s="10"/>
      <c r="K37" s="10"/>
      <c r="L37" s="10"/>
      <c r="M37" s="10"/>
      <c r="N37" s="144"/>
      <c r="S37" t="s">
        <v>362</v>
      </c>
      <c r="T37" s="146">
        <v>3.4648949999999998</v>
      </c>
      <c r="U37" s="146">
        <v>35</v>
      </c>
      <c r="V37" s="146">
        <f t="shared" si="22"/>
        <v>10.101316201501056</v>
      </c>
      <c r="W37" s="10"/>
      <c r="X37" s="146"/>
      <c r="Y37" s="146"/>
      <c r="Z37" s="146"/>
      <c r="AA37" s="10"/>
      <c r="AB37" s="146">
        <v>35</v>
      </c>
      <c r="AC37" s="146"/>
      <c r="AD37" s="146">
        <f t="shared" si="4"/>
        <v>35</v>
      </c>
      <c r="AE37" s="59"/>
      <c r="AF37" s="147">
        <f t="shared" ref="AF37:AF55" si="27">+AE37*$AF$7/AD37</f>
        <v>0</v>
      </c>
      <c r="AG37" s="144">
        <v>0.2</v>
      </c>
      <c r="AH37" s="147">
        <f t="shared" si="1"/>
        <v>742.85714285714289</v>
      </c>
      <c r="AI37" s="146">
        <v>50062</v>
      </c>
      <c r="AK37" s="147">
        <f t="shared" si="26"/>
        <v>0</v>
      </c>
      <c r="AL37" s="6"/>
      <c r="AM37" s="147">
        <f t="shared" si="6"/>
        <v>1474.6337682688147</v>
      </c>
      <c r="AN37" s="147">
        <f>+AB2</f>
        <v>850</v>
      </c>
      <c r="AO37" s="147">
        <f t="shared" si="23"/>
        <v>-624.63376826881472</v>
      </c>
      <c r="AP37" s="231">
        <f t="shared" ref="AP37:AP50" si="28">+(AO37)/$C$22</f>
        <v>-0.82399135806804436</v>
      </c>
      <c r="AQ37" s="12">
        <f t="shared" si="3"/>
        <v>-21862.181889408515</v>
      </c>
      <c r="AR37" t="s">
        <v>362</v>
      </c>
      <c r="AT37" s="237">
        <f t="shared" si="8"/>
        <v>51612.181889408515</v>
      </c>
      <c r="AU37" s="147">
        <f t="shared" si="20"/>
        <v>26000</v>
      </c>
      <c r="AV37" s="147">
        <f t="shared" si="10"/>
        <v>0</v>
      </c>
    </row>
    <row r="38" spans="1:48" x14ac:dyDescent="0.15">
      <c r="A38" s="14" t="s">
        <v>134</v>
      </c>
      <c r="C38" s="6">
        <f>+C214</f>
        <v>28.574962889658583</v>
      </c>
      <c r="E38" s="10">
        <f>+F28</f>
        <v>57568.409999999996</v>
      </c>
      <c r="F38" s="6">
        <f t="shared" si="25"/>
        <v>1645015.1793666498</v>
      </c>
      <c r="H38" s="147">
        <f>+H37/F28</f>
        <v>345.4628899463774</v>
      </c>
      <c r="I38" s="10" t="s">
        <v>508</v>
      </c>
      <c r="K38" s="10"/>
      <c r="L38" s="10"/>
      <c r="M38" s="10"/>
      <c r="N38" s="144"/>
      <c r="S38" t="s">
        <v>363</v>
      </c>
      <c r="T38" s="146">
        <v>8.4042619999999992</v>
      </c>
      <c r="U38" s="146">
        <v>37</v>
      </c>
      <c r="V38" s="146">
        <f t="shared" si="22"/>
        <v>4.402528145838386</v>
      </c>
      <c r="W38" s="146"/>
      <c r="X38" s="146"/>
      <c r="Y38" s="146"/>
      <c r="Z38" s="146"/>
      <c r="AA38" s="10"/>
      <c r="AB38" s="146">
        <f>+U38</f>
        <v>37</v>
      </c>
      <c r="AC38" s="146"/>
      <c r="AD38" s="146">
        <f t="shared" si="4"/>
        <v>37</v>
      </c>
      <c r="AE38" s="59"/>
      <c r="AF38" s="147">
        <f t="shared" si="27"/>
        <v>0</v>
      </c>
      <c r="AG38" s="144"/>
      <c r="AH38" s="147">
        <f t="shared" si="1"/>
        <v>0</v>
      </c>
      <c r="AI38" s="146"/>
      <c r="AK38" s="147">
        <f t="shared" si="26"/>
        <v>0</v>
      </c>
      <c r="AL38" s="6"/>
      <c r="AM38" s="147">
        <f t="shared" si="6"/>
        <v>731.77662541167183</v>
      </c>
      <c r="AN38" s="147">
        <f>+AB2</f>
        <v>850</v>
      </c>
      <c r="AO38" s="147">
        <f t="shared" si="23"/>
        <v>118.22337458832817</v>
      </c>
      <c r="AP38" s="231">
        <f t="shared" si="28"/>
        <v>0.15595544770563946</v>
      </c>
      <c r="AQ38" s="12">
        <f t="shared" si="3"/>
        <v>4374.2648597681418</v>
      </c>
      <c r="AR38" t="s">
        <v>363</v>
      </c>
      <c r="AT38" s="237">
        <f t="shared" si="8"/>
        <v>27075.735140231856</v>
      </c>
      <c r="AU38" s="147">
        <f t="shared" si="20"/>
        <v>0</v>
      </c>
      <c r="AV38" s="147">
        <f t="shared" si="10"/>
        <v>0</v>
      </c>
    </row>
    <row r="39" spans="1:48" x14ac:dyDescent="0.15">
      <c r="A39" s="14" t="s">
        <v>135</v>
      </c>
      <c r="C39" s="6">
        <f>+C215</f>
        <v>61.321565836298966</v>
      </c>
      <c r="E39" s="10">
        <f>+F28</f>
        <v>57568.409999999996</v>
      </c>
      <c r="F39" s="6">
        <f t="shared" si="25"/>
        <v>3530185.0439060517</v>
      </c>
      <c r="I39" s="10"/>
      <c r="K39" s="10"/>
      <c r="L39" s="10"/>
      <c r="M39" s="10"/>
      <c r="N39" s="144"/>
      <c r="S39" t="s">
        <v>364</v>
      </c>
      <c r="T39" s="146">
        <v>30.384374999999999</v>
      </c>
      <c r="U39" s="146">
        <v>262</v>
      </c>
      <c r="V39" s="146">
        <f t="shared" si="22"/>
        <v>8.6228530289005452</v>
      </c>
      <c r="W39" s="10"/>
      <c r="X39" s="146"/>
      <c r="Y39" s="146"/>
      <c r="Z39" s="146"/>
      <c r="AA39" s="10"/>
      <c r="AB39" s="146">
        <f>+U39</f>
        <v>262</v>
      </c>
      <c r="AC39" s="146"/>
      <c r="AD39" s="146">
        <f t="shared" si="4"/>
        <v>262</v>
      </c>
      <c r="AE39" s="59"/>
      <c r="AF39" s="147">
        <f t="shared" si="27"/>
        <v>0</v>
      </c>
      <c r="AG39" s="59"/>
      <c r="AH39" s="147">
        <f t="shared" si="1"/>
        <v>0</v>
      </c>
      <c r="AI39" s="146"/>
      <c r="AK39" s="147">
        <f t="shared" si="26"/>
        <v>0</v>
      </c>
      <c r="AL39" s="6"/>
      <c r="AM39" s="147">
        <f t="shared" si="6"/>
        <v>731.77662541167183</v>
      </c>
      <c r="AN39" s="147">
        <f>+$AB$2</f>
        <v>850</v>
      </c>
      <c r="AO39" s="147">
        <f t="shared" si="23"/>
        <v>118.22337458832817</v>
      </c>
      <c r="AP39" s="231">
        <f t="shared" si="28"/>
        <v>0.15595544770563946</v>
      </c>
      <c r="AQ39" s="12">
        <f t="shared" si="3"/>
        <v>30974.524142141981</v>
      </c>
      <c r="AR39" t="s">
        <v>364</v>
      </c>
      <c r="AT39" s="237">
        <f t="shared" si="8"/>
        <v>191725.47585785802</v>
      </c>
      <c r="AU39" s="147"/>
      <c r="AV39" s="147">
        <f t="shared" si="10"/>
        <v>0</v>
      </c>
    </row>
    <row r="40" spans="1:48" x14ac:dyDescent="0.15">
      <c r="A40" s="14" t="s">
        <v>136</v>
      </c>
      <c r="C40" s="6">
        <v>20</v>
      </c>
      <c r="E40" s="10">
        <f>+F28</f>
        <v>57568.409999999996</v>
      </c>
      <c r="F40" s="6">
        <f t="shared" si="25"/>
        <v>1151368.2</v>
      </c>
      <c r="I40" s="10"/>
      <c r="S40" t="s">
        <v>365</v>
      </c>
      <c r="T40" s="146">
        <v>62</v>
      </c>
      <c r="U40" s="146">
        <v>623</v>
      </c>
      <c r="V40" s="146">
        <f t="shared" si="22"/>
        <v>10.048387096774194</v>
      </c>
      <c r="W40" s="10"/>
      <c r="X40" s="146"/>
      <c r="Y40" s="146"/>
      <c r="Z40" s="146"/>
      <c r="AA40" s="10"/>
      <c r="AB40" s="146">
        <f>+U40</f>
        <v>623</v>
      </c>
      <c r="AD40" s="146">
        <f t="shared" si="4"/>
        <v>623</v>
      </c>
      <c r="AE40" s="59"/>
      <c r="AF40" s="147">
        <f t="shared" si="27"/>
        <v>0</v>
      </c>
      <c r="AG40" s="59"/>
      <c r="AH40" s="147">
        <f t="shared" si="1"/>
        <v>0</v>
      </c>
      <c r="AI40" s="146"/>
      <c r="AK40" s="147">
        <f t="shared" si="26"/>
        <v>0</v>
      </c>
      <c r="AL40" s="6"/>
      <c r="AM40" s="147">
        <f t="shared" si="6"/>
        <v>731.77662541167183</v>
      </c>
      <c r="AN40" s="147">
        <f>+$AB$2</f>
        <v>850</v>
      </c>
      <c r="AO40" s="147">
        <f t="shared" si="23"/>
        <v>118.22337458832817</v>
      </c>
      <c r="AP40" s="231">
        <f t="shared" si="28"/>
        <v>0.15595544770563946</v>
      </c>
      <c r="AQ40" s="12">
        <f t="shared" si="3"/>
        <v>73653.162368528443</v>
      </c>
      <c r="AR40" t="s">
        <v>365</v>
      </c>
      <c r="AT40" s="237">
        <f t="shared" si="8"/>
        <v>455896.83763147157</v>
      </c>
      <c r="AU40" s="147">
        <f t="shared" si="20"/>
        <v>0</v>
      </c>
      <c r="AV40" s="147">
        <f t="shared" si="10"/>
        <v>0</v>
      </c>
    </row>
    <row r="41" spans="1:48" x14ac:dyDescent="0.15">
      <c r="A41" s="14" t="s">
        <v>137</v>
      </c>
      <c r="C41" s="6">
        <v>130000</v>
      </c>
      <c r="E41" s="59">
        <f>+AE169</f>
        <v>14.799999999999999</v>
      </c>
      <c r="F41" s="6">
        <f t="shared" si="25"/>
        <v>1923999.9999999998</v>
      </c>
      <c r="G41" s="6"/>
      <c r="I41" s="10"/>
      <c r="N41" s="144"/>
      <c r="S41" t="s">
        <v>366</v>
      </c>
      <c r="T41" s="146">
        <v>50.9</v>
      </c>
      <c r="U41" s="146">
        <v>461</v>
      </c>
      <c r="V41" s="146">
        <f t="shared" si="22"/>
        <v>9.0569744597249517</v>
      </c>
      <c r="W41" s="10"/>
      <c r="X41" s="146"/>
      <c r="Y41" s="146"/>
      <c r="Z41" s="146"/>
      <c r="AA41" s="10"/>
      <c r="AB41" s="146">
        <f>+U41</f>
        <v>461</v>
      </c>
      <c r="AD41" s="146">
        <f t="shared" si="4"/>
        <v>461</v>
      </c>
      <c r="AE41" s="59"/>
      <c r="AF41" s="147">
        <f t="shared" si="27"/>
        <v>0</v>
      </c>
      <c r="AG41" s="59"/>
      <c r="AH41" s="147">
        <f t="shared" si="1"/>
        <v>0</v>
      </c>
      <c r="AI41" s="146"/>
      <c r="AK41" s="147">
        <f t="shared" si="26"/>
        <v>0</v>
      </c>
      <c r="AL41" s="6"/>
      <c r="AM41" s="147">
        <f t="shared" si="6"/>
        <v>731.77662541167183</v>
      </c>
      <c r="AN41" s="147">
        <f>+$AB$2</f>
        <v>850</v>
      </c>
      <c r="AO41" s="147">
        <f t="shared" si="23"/>
        <v>118.22337458832817</v>
      </c>
      <c r="AP41" s="231">
        <f t="shared" si="28"/>
        <v>0.15595544770563946</v>
      </c>
      <c r="AQ41" s="12">
        <f t="shared" si="3"/>
        <v>54500.975685219288</v>
      </c>
      <c r="AR41" t="s">
        <v>366</v>
      </c>
      <c r="AT41" s="237">
        <f t="shared" si="8"/>
        <v>337349.02431478072</v>
      </c>
      <c r="AU41" s="147">
        <f t="shared" si="20"/>
        <v>0</v>
      </c>
      <c r="AV41" s="147">
        <f t="shared" si="10"/>
        <v>0</v>
      </c>
    </row>
    <row r="42" spans="1:48" x14ac:dyDescent="0.15">
      <c r="A42" s="14" t="s">
        <v>138</v>
      </c>
      <c r="C42" s="6">
        <v>160000</v>
      </c>
      <c r="E42" s="59">
        <f>+AG169</f>
        <v>15.999999999999998</v>
      </c>
      <c r="F42" s="6">
        <f t="shared" si="25"/>
        <v>2559999.9999999995</v>
      </c>
      <c r="G42" s="6"/>
      <c r="H42" s="147">
        <f>+F41+F42+F46</f>
        <v>4632999.9999999991</v>
      </c>
      <c r="I42" s="10"/>
      <c r="N42" s="144"/>
      <c r="S42" t="s">
        <v>367</v>
      </c>
      <c r="T42" s="146">
        <v>44.297269</v>
      </c>
      <c r="U42" s="146">
        <v>288</v>
      </c>
      <c r="V42" s="146">
        <f t="shared" si="22"/>
        <v>6.5015294735212681</v>
      </c>
      <c r="W42" s="10"/>
      <c r="X42" s="146"/>
      <c r="Y42" s="146"/>
      <c r="Z42" s="146"/>
      <c r="AA42" s="10"/>
      <c r="AB42" s="146">
        <f>+U42</f>
        <v>288</v>
      </c>
      <c r="AD42" s="146">
        <f t="shared" si="4"/>
        <v>288</v>
      </c>
      <c r="AE42" s="59"/>
      <c r="AF42" s="147">
        <f t="shared" si="27"/>
        <v>0</v>
      </c>
      <c r="AG42" s="59"/>
      <c r="AH42" s="147">
        <f t="shared" si="1"/>
        <v>0</v>
      </c>
      <c r="AI42" s="146"/>
      <c r="AK42" s="147">
        <f t="shared" si="26"/>
        <v>0</v>
      </c>
      <c r="AL42" s="6"/>
      <c r="AM42" s="147">
        <f t="shared" si="6"/>
        <v>731.77662541167183</v>
      </c>
      <c r="AN42" s="147">
        <f>+$AB$2</f>
        <v>850</v>
      </c>
      <c r="AO42" s="147">
        <f t="shared" si="23"/>
        <v>118.22337458832817</v>
      </c>
      <c r="AP42" s="231">
        <f t="shared" si="28"/>
        <v>0.15595544770563946</v>
      </c>
      <c r="AQ42" s="12">
        <f t="shared" si="3"/>
        <v>34048.331881438513</v>
      </c>
      <c r="AR42" t="s">
        <v>367</v>
      </c>
      <c r="AT42" s="237">
        <f t="shared" si="8"/>
        <v>210751.6681185615</v>
      </c>
      <c r="AU42" s="147">
        <f t="shared" si="20"/>
        <v>0</v>
      </c>
      <c r="AV42" s="147">
        <f t="shared" si="10"/>
        <v>0</v>
      </c>
    </row>
    <row r="43" spans="1:48" x14ac:dyDescent="0.15">
      <c r="A43" s="14" t="s">
        <v>139</v>
      </c>
      <c r="C43" s="6">
        <v>219000</v>
      </c>
      <c r="E43" s="144"/>
      <c r="F43" s="6">
        <f>+E43*C43</f>
        <v>0</v>
      </c>
      <c r="G43" s="6"/>
      <c r="H43" s="147">
        <f>+H42/F28</f>
        <v>80.478165021406696</v>
      </c>
      <c r="I43" s="10" t="s">
        <v>510</v>
      </c>
      <c r="N43" s="144"/>
      <c r="S43" t="s">
        <v>368</v>
      </c>
      <c r="T43" s="146">
        <f>27+37+11+3</f>
        <v>78</v>
      </c>
      <c r="U43" s="146">
        <v>1704</v>
      </c>
      <c r="V43" s="146">
        <f t="shared" si="22"/>
        <v>21.846153846153847</v>
      </c>
      <c r="W43" s="146">
        <v>88</v>
      </c>
      <c r="X43" s="146"/>
      <c r="Y43" s="146">
        <v>1089</v>
      </c>
      <c r="Z43" s="146">
        <v>235</v>
      </c>
      <c r="AA43" s="10"/>
      <c r="AB43" s="146">
        <v>291</v>
      </c>
      <c r="AC43" s="146"/>
      <c r="AD43" s="146">
        <f t="shared" si="4"/>
        <v>1703</v>
      </c>
      <c r="AE43" s="59">
        <v>0.4</v>
      </c>
      <c r="AF43" s="147">
        <f t="shared" si="27"/>
        <v>30.534351145038169</v>
      </c>
      <c r="AG43" s="59"/>
      <c r="AH43" s="147">
        <f t="shared" si="1"/>
        <v>0</v>
      </c>
      <c r="AI43" s="146"/>
      <c r="AJ43">
        <v>0.3</v>
      </c>
      <c r="AK43" s="147">
        <f t="shared" si="26"/>
        <v>3.5231943628890194</v>
      </c>
      <c r="AL43" s="6"/>
      <c r="AM43" s="147">
        <f>+(($AB$7*0.17)+($Z$7*0.14)+($W$7*0.05)+($Y$7*0.64))+AF43+AK43+AH43</f>
        <v>626.17073799568107</v>
      </c>
      <c r="AN43" s="147">
        <f>+(W3*0.83)+(AB7*0.17)</f>
        <v>622.84909751998418</v>
      </c>
      <c r="AO43" s="147">
        <f t="shared" si="23"/>
        <v>-3.3216404756968814</v>
      </c>
      <c r="AP43" s="231">
        <f t="shared" si="28"/>
        <v>-4.3817724651181097E-3</v>
      </c>
      <c r="AQ43" s="12">
        <f t="shared" si="3"/>
        <v>-5656.7537301117891</v>
      </c>
      <c r="AR43" t="s">
        <v>368</v>
      </c>
      <c r="AT43" s="237">
        <f t="shared" si="8"/>
        <v>1066368.7668066449</v>
      </c>
      <c r="AU43" s="147">
        <f t="shared" si="20"/>
        <v>0</v>
      </c>
      <c r="AV43" s="147">
        <f t="shared" si="10"/>
        <v>52000</v>
      </c>
    </row>
    <row r="44" spans="1:48" x14ac:dyDescent="0.15">
      <c r="A44" s="14" t="s">
        <v>143</v>
      </c>
      <c r="C44" s="6">
        <v>100000</v>
      </c>
      <c r="E44" s="10">
        <v>0</v>
      </c>
      <c r="F44" s="6">
        <f t="shared" si="25"/>
        <v>0</v>
      </c>
      <c r="G44" s="6"/>
      <c r="I44" s="10"/>
      <c r="N44" s="144"/>
      <c r="S44" t="s">
        <v>369</v>
      </c>
      <c r="T44" s="146">
        <v>30</v>
      </c>
      <c r="U44" s="146">
        <f>119+179</f>
        <v>298</v>
      </c>
      <c r="V44" s="146">
        <f t="shared" si="22"/>
        <v>9.9333333333333336</v>
      </c>
      <c r="W44" s="10"/>
      <c r="X44" s="146"/>
      <c r="Y44" s="146"/>
      <c r="Z44" s="146"/>
      <c r="AA44" s="10"/>
      <c r="AB44" s="146">
        <f>+U44</f>
        <v>298</v>
      </c>
      <c r="AD44" s="146">
        <f t="shared" si="4"/>
        <v>298</v>
      </c>
      <c r="AE44" s="59"/>
      <c r="AF44" s="147">
        <f t="shared" si="27"/>
        <v>0</v>
      </c>
      <c r="AG44" s="59"/>
      <c r="AH44" s="147">
        <f t="shared" si="1"/>
        <v>0</v>
      </c>
      <c r="AI44" s="146"/>
      <c r="AK44" s="147">
        <f t="shared" si="26"/>
        <v>0</v>
      </c>
      <c r="AL44" s="6"/>
      <c r="AM44" s="147">
        <f t="shared" si="6"/>
        <v>731.77662541167183</v>
      </c>
      <c r="AN44" s="147">
        <f>+AB2</f>
        <v>850</v>
      </c>
      <c r="AO44" s="147">
        <f t="shared" si="23"/>
        <v>118.22337458832817</v>
      </c>
      <c r="AP44" s="231">
        <f t="shared" si="28"/>
        <v>0.15595544770563946</v>
      </c>
      <c r="AQ44" s="12">
        <f t="shared" si="3"/>
        <v>35230.565627321797</v>
      </c>
      <c r="AR44" t="s">
        <v>369</v>
      </c>
      <c r="AT44" s="237">
        <f t="shared" si="8"/>
        <v>218069.4343726782</v>
      </c>
      <c r="AU44" s="147">
        <f t="shared" si="20"/>
        <v>0</v>
      </c>
      <c r="AV44" s="147">
        <f t="shared" si="10"/>
        <v>0</v>
      </c>
    </row>
    <row r="45" spans="1:48" x14ac:dyDescent="0.15">
      <c r="A45" s="14" t="s">
        <v>144</v>
      </c>
      <c r="C45" s="6">
        <f>+C216</f>
        <v>35.590714285714284</v>
      </c>
      <c r="E45" s="10">
        <f>+F28</f>
        <v>57568.409999999996</v>
      </c>
      <c r="F45" s="6">
        <f>+C45*E45</f>
        <v>2048900.8321928568</v>
      </c>
      <c r="G45" s="6"/>
      <c r="S45" t="s">
        <v>370</v>
      </c>
      <c r="T45" s="146">
        <v>15.2</v>
      </c>
      <c r="U45" s="146">
        <v>143</v>
      </c>
      <c r="V45" s="146">
        <f t="shared" si="22"/>
        <v>9.4078947368421062</v>
      </c>
      <c r="W45" s="10"/>
      <c r="X45" s="146"/>
      <c r="Y45" s="146"/>
      <c r="Z45" s="146"/>
      <c r="AA45" s="10"/>
      <c r="AB45" s="146">
        <f>+U45</f>
        <v>143</v>
      </c>
      <c r="AD45" s="146">
        <f t="shared" si="4"/>
        <v>143</v>
      </c>
      <c r="AE45" s="59"/>
      <c r="AF45" s="147">
        <f t="shared" si="27"/>
        <v>0</v>
      </c>
      <c r="AG45" s="59"/>
      <c r="AH45" s="147">
        <f t="shared" si="1"/>
        <v>0</v>
      </c>
      <c r="AI45" s="146"/>
      <c r="AK45" s="147">
        <f t="shared" si="26"/>
        <v>0</v>
      </c>
      <c r="AL45" s="6"/>
      <c r="AM45" s="147">
        <f t="shared" si="6"/>
        <v>731.77662541167183</v>
      </c>
      <c r="AN45" s="147">
        <f>+AB2</f>
        <v>850</v>
      </c>
      <c r="AO45" s="147">
        <f t="shared" si="23"/>
        <v>118.22337458832817</v>
      </c>
      <c r="AP45" s="231">
        <f t="shared" si="28"/>
        <v>0.15595544770563946</v>
      </c>
      <c r="AQ45" s="12">
        <f t="shared" si="3"/>
        <v>16905.942566130929</v>
      </c>
      <c r="AR45" t="s">
        <v>370</v>
      </c>
      <c r="AT45" s="237">
        <f t="shared" si="8"/>
        <v>104644.05743386908</v>
      </c>
      <c r="AU45" s="147">
        <f t="shared" si="20"/>
        <v>0</v>
      </c>
      <c r="AV45" s="147">
        <f t="shared" si="10"/>
        <v>0</v>
      </c>
    </row>
    <row r="46" spans="1:48" x14ac:dyDescent="0.15">
      <c r="A46" s="14" t="s">
        <v>145</v>
      </c>
      <c r="C46" s="6">
        <v>20000</v>
      </c>
      <c r="E46" s="59">
        <f>+AJ169</f>
        <v>7.45</v>
      </c>
      <c r="F46" s="6">
        <f>+C46*E46</f>
        <v>149000</v>
      </c>
      <c r="G46" s="6"/>
      <c r="H46" s="147">
        <f>SUM(F31:F46)</f>
        <v>32896218.543683488</v>
      </c>
      <c r="I46" s="10"/>
      <c r="S46" t="s">
        <v>371</v>
      </c>
      <c r="T46" s="146">
        <v>43</v>
      </c>
      <c r="U46" s="146">
        <v>584</v>
      </c>
      <c r="V46" s="146">
        <f t="shared" si="22"/>
        <v>13.581395348837209</v>
      </c>
      <c r="W46" s="146">
        <v>183</v>
      </c>
      <c r="X46" s="146"/>
      <c r="Y46" s="146"/>
      <c r="Z46" s="146">
        <v>205</v>
      </c>
      <c r="AA46" s="10"/>
      <c r="AB46" s="146">
        <f>98+98</f>
        <v>196</v>
      </c>
      <c r="AD46" s="146">
        <f t="shared" si="4"/>
        <v>584</v>
      </c>
      <c r="AE46" s="59">
        <v>0.1</v>
      </c>
      <c r="AF46" s="147">
        <f t="shared" si="27"/>
        <v>22.260273972602739</v>
      </c>
      <c r="AG46" s="59">
        <v>0.45</v>
      </c>
      <c r="AH46" s="147">
        <f t="shared" si="1"/>
        <v>100.17123287671232</v>
      </c>
      <c r="AI46" s="146">
        <v>50075</v>
      </c>
      <c r="AK46" s="147">
        <f t="shared" si="26"/>
        <v>0</v>
      </c>
      <c r="AL46" s="6"/>
      <c r="AM46" s="147">
        <f>+(($AB$7*0.6)+($Z$7*0.21)+($W$7*0.19))+AF46+AK46+AH46</f>
        <v>759.37251256299567</v>
      </c>
      <c r="AN46" s="147">
        <f>+W7*0.66+AB2*0.33</f>
        <v>655.93434567123711</v>
      </c>
      <c r="AO46" s="147">
        <f t="shared" si="23"/>
        <v>-103.43816689175856</v>
      </c>
      <c r="AP46" s="231">
        <f t="shared" si="28"/>
        <v>-0.13645140551627849</v>
      </c>
      <c r="AQ46" s="12">
        <f t="shared" si="3"/>
        <v>-60407.889464786997</v>
      </c>
      <c r="AR46" t="s">
        <v>371</v>
      </c>
      <c r="AT46" s="237">
        <f t="shared" si="8"/>
        <v>443473.54733678949</v>
      </c>
      <c r="AU46" s="147">
        <f t="shared" si="20"/>
        <v>58500</v>
      </c>
      <c r="AV46" s="147">
        <f t="shared" si="10"/>
        <v>13000</v>
      </c>
    </row>
    <row r="47" spans="1:48" x14ac:dyDescent="0.15">
      <c r="A47" s="14" t="s">
        <v>312</v>
      </c>
      <c r="B47" s="5">
        <v>0.16</v>
      </c>
      <c r="C47" s="147">
        <f>+B47*C22</f>
        <v>121.28938239999999</v>
      </c>
      <c r="D47" s="60"/>
      <c r="E47" s="10">
        <f>+F28</f>
        <v>57568.409999999996</v>
      </c>
      <c r="F47" s="6">
        <f>+C47*F28</f>
        <v>6982436.8946499834</v>
      </c>
      <c r="G47" s="6"/>
      <c r="H47" s="147">
        <f>+H46/F28</f>
        <v>571.42829797945592</v>
      </c>
      <c r="I47" s="10" t="s">
        <v>509</v>
      </c>
      <c r="N47" s="144"/>
      <c r="S47" t="s">
        <v>372</v>
      </c>
      <c r="T47" s="146">
        <v>15.3</v>
      </c>
      <c r="U47" s="146">
        <v>110</v>
      </c>
      <c r="V47" s="146">
        <f t="shared" si="22"/>
        <v>7.18954248366013</v>
      </c>
      <c r="W47" s="10"/>
      <c r="X47" s="146"/>
      <c r="Y47" s="146"/>
      <c r="Z47" s="146"/>
      <c r="AA47" s="10"/>
      <c r="AB47" s="146">
        <f>+U47</f>
        <v>110</v>
      </c>
      <c r="AD47" s="146">
        <f t="shared" si="4"/>
        <v>110</v>
      </c>
      <c r="AE47" s="59"/>
      <c r="AF47" s="147">
        <f t="shared" si="27"/>
        <v>0</v>
      </c>
      <c r="AG47" s="59"/>
      <c r="AH47" s="147">
        <f t="shared" si="1"/>
        <v>0</v>
      </c>
      <c r="AI47" s="146"/>
      <c r="AK47" s="147">
        <f t="shared" si="26"/>
        <v>0</v>
      </c>
      <c r="AL47" s="6"/>
      <c r="AM47" s="147">
        <f t="shared" si="6"/>
        <v>731.77662541167183</v>
      </c>
      <c r="AN47" s="147">
        <f>+AB2</f>
        <v>850</v>
      </c>
      <c r="AO47" s="147">
        <f t="shared" si="23"/>
        <v>118.22337458832817</v>
      </c>
      <c r="AP47" s="231">
        <f t="shared" si="28"/>
        <v>0.15595544770563946</v>
      </c>
      <c r="AQ47" s="12">
        <f t="shared" si="3"/>
        <v>13004.5712047161</v>
      </c>
      <c r="AR47" t="s">
        <v>372</v>
      </c>
      <c r="AT47" s="237">
        <f t="shared" si="8"/>
        <v>80495.428795283908</v>
      </c>
      <c r="AU47" s="147">
        <f t="shared" si="20"/>
        <v>0</v>
      </c>
      <c r="AV47" s="147">
        <f t="shared" si="10"/>
        <v>0</v>
      </c>
    </row>
    <row r="48" spans="1:48" x14ac:dyDescent="0.15">
      <c r="F48" s="6"/>
      <c r="G48" s="6"/>
      <c r="I48" s="10"/>
      <c r="N48" s="144"/>
      <c r="S48" t="s">
        <v>373</v>
      </c>
      <c r="T48" s="146">
        <v>23.808444999999999</v>
      </c>
      <c r="U48" s="146">
        <v>71</v>
      </c>
      <c r="V48" s="10">
        <f t="shared" si="22"/>
        <v>2.9821351205423121</v>
      </c>
      <c r="W48" s="10"/>
      <c r="X48" s="146"/>
      <c r="Y48" s="146"/>
      <c r="Z48" s="146"/>
      <c r="AA48" s="10"/>
      <c r="AB48" s="146">
        <f>+U48</f>
        <v>71</v>
      </c>
      <c r="AD48" s="146">
        <f t="shared" si="4"/>
        <v>71</v>
      </c>
      <c r="AE48" s="59"/>
      <c r="AF48" s="147">
        <f t="shared" si="27"/>
        <v>0</v>
      </c>
      <c r="AG48" s="59"/>
      <c r="AH48" s="147">
        <f t="shared" si="1"/>
        <v>0</v>
      </c>
      <c r="AI48" s="146"/>
      <c r="AK48" s="147">
        <f t="shared" si="26"/>
        <v>0</v>
      </c>
      <c r="AL48" s="6"/>
      <c r="AM48" s="147">
        <f t="shared" si="6"/>
        <v>731.77662541167183</v>
      </c>
      <c r="AN48" s="147">
        <f>+AB2</f>
        <v>850</v>
      </c>
      <c r="AO48" s="147">
        <f t="shared" si="23"/>
        <v>118.22337458832817</v>
      </c>
      <c r="AP48" s="231">
        <f t="shared" si="28"/>
        <v>0.15595544770563946</v>
      </c>
      <c r="AQ48" s="12">
        <f t="shared" si="3"/>
        <v>8393.8595957713005</v>
      </c>
      <c r="AR48" t="s">
        <v>373</v>
      </c>
      <c r="AT48" s="237">
        <f t="shared" si="8"/>
        <v>51956.140404228703</v>
      </c>
      <c r="AU48" s="147">
        <f t="shared" si="20"/>
        <v>0</v>
      </c>
      <c r="AV48" s="147">
        <f t="shared" si="10"/>
        <v>0</v>
      </c>
    </row>
    <row r="49" spans="1:48" x14ac:dyDescent="0.15">
      <c r="A49" s="9" t="s">
        <v>147</v>
      </c>
      <c r="F49" s="6">
        <f>SUM(F31:F48)</f>
        <v>39878655.438333474</v>
      </c>
      <c r="I49" s="10"/>
      <c r="N49" s="144"/>
      <c r="S49" t="s">
        <v>374</v>
      </c>
      <c r="T49" s="146">
        <v>3.44062</v>
      </c>
      <c r="U49" s="146">
        <v>81</v>
      </c>
      <c r="V49" s="10">
        <f t="shared" si="22"/>
        <v>23.542268544622772</v>
      </c>
      <c r="Z49" s="146">
        <f>+U49*$U$3</f>
        <v>81</v>
      </c>
      <c r="AB49" s="146"/>
      <c r="AC49" s="146"/>
      <c r="AD49" s="146">
        <f>SUM(W49:AC49)</f>
        <v>81</v>
      </c>
      <c r="AE49" s="59"/>
      <c r="AF49" s="147">
        <f t="shared" si="27"/>
        <v>0</v>
      </c>
      <c r="AG49" s="59">
        <v>0.7</v>
      </c>
      <c r="AH49" s="147">
        <f t="shared" si="1"/>
        <v>1123.4567901234568</v>
      </c>
      <c r="AI49" s="146">
        <v>50062</v>
      </c>
      <c r="AK49" s="147">
        <f t="shared" si="26"/>
        <v>0</v>
      </c>
      <c r="AL49" s="6"/>
      <c r="AM49" s="147">
        <f>+$Z$7+AF49+AK49+AH49</f>
        <v>1551.0541525366757</v>
      </c>
      <c r="AN49" s="147">
        <f>+Z3</f>
        <v>600.53863999999999</v>
      </c>
      <c r="AO49" s="147">
        <f t="shared" si="23"/>
        <v>-950.51551253667571</v>
      </c>
      <c r="AP49" s="231">
        <f t="shared" si="28"/>
        <v>-1.2538812466231843</v>
      </c>
      <c r="AQ49" s="12">
        <f t="shared" si="3"/>
        <v>-76991.756515470726</v>
      </c>
      <c r="AR49" t="s">
        <v>374</v>
      </c>
      <c r="AT49" s="237">
        <f t="shared" si="8"/>
        <v>125635.38635547073</v>
      </c>
      <c r="AU49" s="147"/>
      <c r="AV49" s="147">
        <f t="shared" si="10"/>
        <v>0</v>
      </c>
    </row>
    <row r="50" spans="1:48" x14ac:dyDescent="0.15">
      <c r="A50" s="9"/>
      <c r="F50" s="6"/>
      <c r="G50" s="6"/>
      <c r="I50" s="10"/>
      <c r="N50" s="144"/>
      <c r="S50" t="s">
        <v>375</v>
      </c>
      <c r="T50" s="146">
        <v>18.855907999999999</v>
      </c>
      <c r="U50" s="146">
        <v>295</v>
      </c>
      <c r="V50" s="146">
        <f t="shared" si="22"/>
        <v>15.644963902030069</v>
      </c>
      <c r="W50" s="146">
        <f>+U50*$U$3</f>
        <v>295</v>
      </c>
      <c r="AB50" s="146"/>
      <c r="AD50" s="146">
        <f t="shared" si="4"/>
        <v>295</v>
      </c>
      <c r="AE50" s="59">
        <v>0.1</v>
      </c>
      <c r="AF50" s="147">
        <f t="shared" si="27"/>
        <v>44.067796610169495</v>
      </c>
      <c r="AG50" s="59">
        <v>0.3</v>
      </c>
      <c r="AH50" s="147">
        <f t="shared" si="1"/>
        <v>132.20338983050848</v>
      </c>
      <c r="AI50" s="146">
        <v>50062</v>
      </c>
      <c r="AK50" s="147">
        <f t="shared" si="26"/>
        <v>0</v>
      </c>
      <c r="AM50" s="147">
        <f>+$Y$7+AF50+AK50+AH50</f>
        <v>769.0923419808878</v>
      </c>
      <c r="AN50" s="147">
        <f>+W3</f>
        <v>600.53863999999999</v>
      </c>
      <c r="AO50" s="147">
        <f t="shared" si="23"/>
        <v>-168.55370198088781</v>
      </c>
      <c r="AP50" s="231">
        <f t="shared" si="28"/>
        <v>-0.22234916019278905</v>
      </c>
      <c r="AQ50" s="12">
        <f t="shared" si="3"/>
        <v>-49723.342084361902</v>
      </c>
      <c r="AR50" t="s">
        <v>375</v>
      </c>
      <c r="AT50" s="237">
        <f t="shared" si="8"/>
        <v>226882.24088436191</v>
      </c>
      <c r="AU50" s="147">
        <f t="shared" si="20"/>
        <v>39000</v>
      </c>
      <c r="AV50" s="147">
        <f t="shared" si="10"/>
        <v>13000.000000000002</v>
      </c>
    </row>
    <row r="51" spans="1:48" x14ac:dyDescent="0.15">
      <c r="A51" s="9" t="s">
        <v>148</v>
      </c>
      <c r="F51" s="6">
        <f>+F49/F28</f>
        <v>692.71768037945594</v>
      </c>
      <c r="G51" s="6">
        <f>+F49/F28</f>
        <v>692.71768037945594</v>
      </c>
      <c r="I51" s="10"/>
      <c r="N51" s="144"/>
      <c r="S51" t="s">
        <v>376</v>
      </c>
      <c r="T51" s="146">
        <v>46</v>
      </c>
      <c r="U51" s="146">
        <v>787</v>
      </c>
      <c r="V51" s="146">
        <f t="shared" si="22"/>
        <v>17.108695652173914</v>
      </c>
      <c r="W51" s="146">
        <f>462+77</f>
        <v>539</v>
      </c>
      <c r="X51" s="146"/>
      <c r="Y51" s="146"/>
      <c r="Z51" s="146"/>
      <c r="AA51" s="10"/>
      <c r="AB51" s="146">
        <v>114</v>
      </c>
      <c r="AC51" s="146"/>
      <c r="AD51" s="146">
        <f t="shared" si="4"/>
        <v>653</v>
      </c>
      <c r="AE51" s="59"/>
      <c r="AF51" s="147">
        <f t="shared" si="27"/>
        <v>0</v>
      </c>
      <c r="AG51">
        <v>0.3</v>
      </c>
      <c r="AH51" s="147">
        <f t="shared" si="1"/>
        <v>59.724349157733535</v>
      </c>
      <c r="AI51" s="146">
        <v>50062</v>
      </c>
      <c r="AK51" s="147">
        <f t="shared" si="26"/>
        <v>0</v>
      </c>
      <c r="AL51" s="6"/>
      <c r="AM51" s="147">
        <f>+(($AB$7*0.16)+($W$7*0.84))+AF51+AK51+AH51</f>
        <v>654.63414007790266</v>
      </c>
      <c r="AN51" s="147">
        <f>+W3*0.84+AB2*0.16</f>
        <v>640.45245759999989</v>
      </c>
      <c r="AO51" s="147">
        <f t="shared" si="23"/>
        <v>-14.181682477902768</v>
      </c>
      <c r="AP51" s="231">
        <f t="shared" ref="AP51:AP74" si="29">+(AO51)/$C$22</f>
        <v>-1.870789636788886E-2</v>
      </c>
      <c r="AQ51" s="12">
        <f t="shared" si="3"/>
        <v>-9260.6386580705075</v>
      </c>
      <c r="AR51" t="s">
        <v>376</v>
      </c>
      <c r="AT51" s="237">
        <f t="shared" si="8"/>
        <v>427476.09347087046</v>
      </c>
      <c r="AU51" s="147">
        <f t="shared" si="20"/>
        <v>39000</v>
      </c>
      <c r="AV51" s="147">
        <f t="shared" si="10"/>
        <v>0</v>
      </c>
    </row>
    <row r="52" spans="1:48" x14ac:dyDescent="0.15">
      <c r="A52" s="9" t="s">
        <v>326</v>
      </c>
      <c r="B52" s="4"/>
      <c r="F52" s="6">
        <f>+P32-F51</f>
        <v>9.094289746521099</v>
      </c>
      <c r="G52" s="147">
        <f>+P32-G51</f>
        <v>9.094289746521099</v>
      </c>
      <c r="I52" s="10"/>
      <c r="K52" s="10"/>
      <c r="L52" s="10"/>
      <c r="M52" s="10"/>
      <c r="N52" s="10"/>
      <c r="S52" t="s">
        <v>377</v>
      </c>
      <c r="T52" s="146">
        <v>69</v>
      </c>
      <c r="U52" s="146">
        <v>1170</v>
      </c>
      <c r="V52" s="146">
        <f t="shared" si="22"/>
        <v>16.956521739130434</v>
      </c>
      <c r="W52" s="146">
        <f>518+401</f>
        <v>919</v>
      </c>
      <c r="X52" s="146"/>
      <c r="Y52" s="146"/>
      <c r="Z52" s="146"/>
      <c r="AA52" s="10"/>
      <c r="AB52" s="146">
        <f>39+39</f>
        <v>78</v>
      </c>
      <c r="AC52" s="146"/>
      <c r="AD52" s="146">
        <f t="shared" si="4"/>
        <v>997</v>
      </c>
      <c r="AE52" s="59">
        <v>0.1</v>
      </c>
      <c r="AF52" s="147">
        <f t="shared" si="27"/>
        <v>13.039117352056168</v>
      </c>
      <c r="AG52" s="59">
        <v>0.5</v>
      </c>
      <c r="AH52" s="147">
        <f t="shared" si="1"/>
        <v>65.195586760280847</v>
      </c>
      <c r="AI52" s="146">
        <v>50062</v>
      </c>
      <c r="AK52" s="147">
        <f t="shared" si="26"/>
        <v>0</v>
      </c>
      <c r="AL52" s="6"/>
      <c r="AM52" s="147">
        <f>+(($AB$7*0.05)+($W$7*0.95))+AF52+AK52+AH52</f>
        <v>655.22145718242859</v>
      </c>
      <c r="AN52" s="147">
        <f>+W3*0.95+AB2*0.05</f>
        <v>613.011708</v>
      </c>
      <c r="AO52" s="147">
        <f t="shared" si="23"/>
        <v>-42.209749182428595</v>
      </c>
      <c r="AP52" s="231">
        <f t="shared" si="29"/>
        <v>-5.5681377343616313E-2</v>
      </c>
      <c r="AQ52" s="12">
        <f t="shared" si="3"/>
        <v>-42083.11993488131</v>
      </c>
      <c r="AR52" t="s">
        <v>377</v>
      </c>
      <c r="AT52" s="237">
        <f t="shared" si="8"/>
        <v>653255.79281088128</v>
      </c>
      <c r="AU52" s="147"/>
      <c r="AV52" s="147">
        <f t="shared" si="10"/>
        <v>13000</v>
      </c>
    </row>
    <row r="53" spans="1:48" x14ac:dyDescent="0.15">
      <c r="F53" s="6">
        <f>+F52*F28</f>
        <v>523543.80078652268</v>
      </c>
      <c r="G53" s="147">
        <f>+G52*F28</f>
        <v>523543.80078652268</v>
      </c>
      <c r="I53" s="6"/>
      <c r="N53" s="144"/>
      <c r="S53" t="s">
        <v>378</v>
      </c>
      <c r="T53" s="146">
        <v>11.811681</v>
      </c>
      <c r="U53" s="146">
        <v>26</v>
      </c>
      <c r="V53" s="146">
        <f t="shared" si="22"/>
        <v>2.2012108183416061</v>
      </c>
      <c r="W53" s="10"/>
      <c r="X53" s="146"/>
      <c r="Y53" s="146"/>
      <c r="AA53" s="10"/>
      <c r="AB53" s="146">
        <f>+U53</f>
        <v>26</v>
      </c>
      <c r="AD53" s="146">
        <f t="shared" si="4"/>
        <v>26</v>
      </c>
      <c r="AE53" s="59"/>
      <c r="AF53" s="147">
        <f t="shared" si="27"/>
        <v>0</v>
      </c>
      <c r="AG53" s="59"/>
      <c r="AH53" s="147">
        <f t="shared" si="1"/>
        <v>0</v>
      </c>
      <c r="AI53" s="147"/>
      <c r="AK53" s="147">
        <f t="shared" si="26"/>
        <v>0</v>
      </c>
      <c r="AL53" s="6"/>
      <c r="AM53" s="147">
        <f t="shared" si="6"/>
        <v>731.77662541167183</v>
      </c>
      <c r="AN53" s="147">
        <f>+AB2</f>
        <v>850</v>
      </c>
      <c r="AO53" s="147">
        <f t="shared" si="23"/>
        <v>118.22337458832817</v>
      </c>
      <c r="AP53" s="231">
        <f t="shared" si="29"/>
        <v>0.15595544770563946</v>
      </c>
      <c r="AQ53" s="12">
        <f t="shared" si="3"/>
        <v>3073.8077392965324</v>
      </c>
      <c r="AR53" t="s">
        <v>378</v>
      </c>
      <c r="AT53" s="237">
        <f t="shared" si="8"/>
        <v>19026.192260703468</v>
      </c>
      <c r="AU53" s="147">
        <f t="shared" si="20"/>
        <v>0</v>
      </c>
      <c r="AV53" s="147">
        <f t="shared" si="10"/>
        <v>0</v>
      </c>
    </row>
    <row r="54" spans="1:48" x14ac:dyDescent="0.15">
      <c r="L54" s="9"/>
      <c r="S54" t="s">
        <v>379</v>
      </c>
      <c r="T54" s="146">
        <v>50</v>
      </c>
      <c r="U54" s="146">
        <v>767</v>
      </c>
      <c r="V54" s="146">
        <f t="shared" si="22"/>
        <v>15.34</v>
      </c>
      <c r="W54" s="146">
        <v>451</v>
      </c>
      <c r="X54" s="146"/>
      <c r="Y54" s="146"/>
      <c r="AA54" s="10"/>
      <c r="AB54" s="146">
        <f>158+46+112</f>
        <v>316</v>
      </c>
      <c r="AC54" s="146"/>
      <c r="AD54" s="146">
        <f t="shared" si="4"/>
        <v>767</v>
      </c>
      <c r="AE54" s="59"/>
      <c r="AF54" s="147">
        <f t="shared" si="27"/>
        <v>0</v>
      </c>
      <c r="AG54" s="59"/>
      <c r="AH54" s="147">
        <f t="shared" si="1"/>
        <v>0</v>
      </c>
      <c r="AI54" s="147"/>
      <c r="AK54" s="147">
        <f t="shared" si="26"/>
        <v>0</v>
      </c>
      <c r="AL54" s="6"/>
      <c r="AM54" s="147">
        <f>+(($AB$7*0.41)+($W$7*0.59))+AF54+AK54+AH54</f>
        <v>635.643967852164</v>
      </c>
      <c r="AN54" s="147">
        <f>+W3*0.59+AB2*0.41</f>
        <v>702.81779759999995</v>
      </c>
      <c r="AO54" s="147">
        <f t="shared" si="23"/>
        <v>67.173829747835953</v>
      </c>
      <c r="AP54" s="231">
        <f t="shared" si="29"/>
        <v>8.8612972932853792E-2</v>
      </c>
      <c r="AQ54" s="12">
        <f t="shared" si="3"/>
        <v>51522.327416590175</v>
      </c>
      <c r="AR54" t="s">
        <v>379</v>
      </c>
      <c r="AT54" s="237">
        <f t="shared" si="8"/>
        <v>487538.92334260978</v>
      </c>
      <c r="AU54" s="147">
        <f t="shared" si="20"/>
        <v>0</v>
      </c>
      <c r="AV54" s="147">
        <f t="shared" si="10"/>
        <v>0</v>
      </c>
    </row>
    <row r="55" spans="1:48" x14ac:dyDescent="0.15">
      <c r="A55" s="3">
        <v>41066</v>
      </c>
      <c r="S55" t="s">
        <v>380</v>
      </c>
      <c r="T55" s="146">
        <v>48.8</v>
      </c>
      <c r="U55" s="146">
        <v>654</v>
      </c>
      <c r="V55" s="146">
        <f t="shared" si="22"/>
        <v>13.401639344262296</v>
      </c>
      <c r="W55" s="10">
        <v>162</v>
      </c>
      <c r="X55" s="146"/>
      <c r="Y55" s="146"/>
      <c r="Z55">
        <v>254</v>
      </c>
      <c r="AA55" s="10"/>
      <c r="AB55" s="146">
        <f>92+31+31+84</f>
        <v>238</v>
      </c>
      <c r="AD55" s="146">
        <f t="shared" si="4"/>
        <v>654</v>
      </c>
      <c r="AE55" s="59">
        <v>0.1</v>
      </c>
      <c r="AF55" s="147">
        <f t="shared" si="27"/>
        <v>19.877675840978593</v>
      </c>
      <c r="AG55" s="59"/>
      <c r="AH55" s="147">
        <f t="shared" si="1"/>
        <v>0</v>
      </c>
      <c r="AI55" s="147"/>
      <c r="AK55" s="147">
        <f t="shared" si="26"/>
        <v>0</v>
      </c>
      <c r="AL55" s="6"/>
      <c r="AM55" s="147">
        <f>+($AB$7*0.36)+($Z$7*0.39)+($W$7*0.025)+AF55+AK55+AH55</f>
        <v>464.30123027242814</v>
      </c>
      <c r="AN55" s="147">
        <f>+AB2*0.36+W3*0.64</f>
        <v>690.34472959999994</v>
      </c>
      <c r="AO55" s="147">
        <f t="shared" si="23"/>
        <v>226.04349932757179</v>
      </c>
      <c r="AP55" s="231">
        <f t="shared" si="29"/>
        <v>0.29818735306225358</v>
      </c>
      <c r="AQ55" s="12">
        <f t="shared" si="3"/>
        <v>147832.44856023195</v>
      </c>
      <c r="AR55" t="s">
        <v>380</v>
      </c>
      <c r="AT55" s="237">
        <f t="shared" si="8"/>
        <v>303653.00459816802</v>
      </c>
      <c r="AU55" s="147">
        <f t="shared" si="20"/>
        <v>0</v>
      </c>
      <c r="AV55" s="147">
        <f t="shared" si="10"/>
        <v>13000</v>
      </c>
    </row>
    <row r="56" spans="1:48" x14ac:dyDescent="0.15">
      <c r="B56" s="39"/>
      <c r="C56" s="2"/>
      <c r="D56" s="2"/>
      <c r="E56" s="2"/>
      <c r="F56" s="2"/>
      <c r="J56" s="2"/>
      <c r="L56" s="9"/>
      <c r="S56" t="s">
        <v>381</v>
      </c>
      <c r="T56" s="146">
        <v>48</v>
      </c>
      <c r="U56" s="146">
        <v>800</v>
      </c>
      <c r="V56" s="146">
        <f t="shared" si="22"/>
        <v>16.666666666666668</v>
      </c>
      <c r="W56" s="146"/>
      <c r="X56" s="146"/>
      <c r="Y56" s="146"/>
      <c r="Z56">
        <v>330</v>
      </c>
      <c r="AA56" s="10"/>
      <c r="AB56" s="146">
        <f>181+60+109+72+48</f>
        <v>470</v>
      </c>
      <c r="AC56" s="146"/>
      <c r="AD56" s="146">
        <f t="shared" si="4"/>
        <v>800</v>
      </c>
      <c r="AE56" s="59">
        <v>0.1</v>
      </c>
      <c r="AF56" s="147">
        <f t="shared" ref="AF56:AF63" si="30">+AE56*$AF$7/AD56</f>
        <v>16.25</v>
      </c>
      <c r="AG56" s="59"/>
      <c r="AH56" s="147">
        <f t="shared" si="1"/>
        <v>0</v>
      </c>
      <c r="AI56" s="147"/>
      <c r="AJ56">
        <v>0.2</v>
      </c>
      <c r="AK56" s="147">
        <f t="shared" si="26"/>
        <v>5</v>
      </c>
      <c r="AL56" s="6"/>
      <c r="AM56" s="147">
        <f>+(($AB$7*0.59)+($Z$7*0.41))+AF56+AK56+AH56</f>
        <v>628.31312758230615</v>
      </c>
      <c r="AN56" s="147">
        <f>+Y3*0.41+AB2*0.59</f>
        <v>747.72084240000004</v>
      </c>
      <c r="AO56" s="147">
        <f t="shared" si="23"/>
        <v>119.40771481769389</v>
      </c>
      <c r="AP56" s="231">
        <f t="shared" si="29"/>
        <v>0.15751778096968053</v>
      </c>
      <c r="AQ56" s="12">
        <f t="shared" si="3"/>
        <v>95526.171854155109</v>
      </c>
      <c r="AR56" t="s">
        <v>381</v>
      </c>
      <c r="AT56" s="237">
        <f t="shared" si="8"/>
        <v>502650.50206584495</v>
      </c>
      <c r="AU56" s="147">
        <f t="shared" si="20"/>
        <v>0</v>
      </c>
      <c r="AV56" s="147">
        <f t="shared" si="10"/>
        <v>13000</v>
      </c>
    </row>
    <row r="57" spans="1:48" x14ac:dyDescent="0.15">
      <c r="B57" s="39"/>
      <c r="C57" s="2"/>
      <c r="D57" s="2"/>
      <c r="E57" s="2"/>
      <c r="F57" s="2"/>
      <c r="S57" t="s">
        <v>382</v>
      </c>
      <c r="T57" s="146">
        <v>22</v>
      </c>
      <c r="U57" s="146">
        <f>102+37+65</f>
        <v>204</v>
      </c>
      <c r="V57" s="146">
        <f t="shared" si="22"/>
        <v>9.2727272727272734</v>
      </c>
      <c r="X57" s="146"/>
      <c r="Y57" s="146"/>
      <c r="Z57" s="146"/>
      <c r="AA57" s="10"/>
      <c r="AB57" s="146">
        <v>204</v>
      </c>
      <c r="AD57" s="146">
        <f>SUM(X57:AC57)</f>
        <v>204</v>
      </c>
      <c r="AE57" s="59"/>
      <c r="AF57" s="147">
        <f t="shared" si="30"/>
        <v>0</v>
      </c>
      <c r="AG57" s="59"/>
      <c r="AH57" s="147">
        <f t="shared" si="1"/>
        <v>0</v>
      </c>
      <c r="AI57" s="147"/>
      <c r="AK57" s="147">
        <f t="shared" si="26"/>
        <v>0</v>
      </c>
      <c r="AL57" s="6"/>
      <c r="AM57" s="147">
        <f t="shared" si="6"/>
        <v>731.77662541167183</v>
      </c>
      <c r="AN57" s="147">
        <f>+AB2</f>
        <v>850</v>
      </c>
      <c r="AO57" s="147">
        <f t="shared" si="23"/>
        <v>118.22337458832817</v>
      </c>
      <c r="AP57" s="231">
        <f t="shared" si="29"/>
        <v>0.15595544770563946</v>
      </c>
      <c r="AQ57" s="12">
        <f t="shared" si="3"/>
        <v>24117.568416018948</v>
      </c>
      <c r="AR57" t="s">
        <v>382</v>
      </c>
      <c r="AT57" s="237">
        <f t="shared" si="8"/>
        <v>149282.43158398106</v>
      </c>
      <c r="AU57" s="147">
        <f t="shared" si="20"/>
        <v>0</v>
      </c>
      <c r="AV57" s="147">
        <f t="shared" si="10"/>
        <v>0</v>
      </c>
    </row>
    <row r="58" spans="1:48" x14ac:dyDescent="0.15">
      <c r="A58" s="10"/>
      <c r="B58" s="2"/>
      <c r="C58" s="2"/>
      <c r="D58" s="2"/>
      <c r="E58" s="2"/>
      <c r="F58" s="2"/>
      <c r="I58" s="6"/>
      <c r="S58" t="s">
        <v>383</v>
      </c>
      <c r="T58" s="146">
        <v>34</v>
      </c>
      <c r="U58" s="146">
        <v>1006</v>
      </c>
      <c r="V58" s="146">
        <f t="shared" si="22"/>
        <v>29.588235294117649</v>
      </c>
      <c r="W58" s="146">
        <v>755</v>
      </c>
      <c r="X58" s="146"/>
      <c r="Y58" s="146"/>
      <c r="Z58" s="146">
        <v>172</v>
      </c>
      <c r="AA58" s="10"/>
      <c r="AB58" s="146">
        <v>79</v>
      </c>
      <c r="AD58" s="146">
        <f t="shared" si="4"/>
        <v>1006</v>
      </c>
      <c r="AE58" s="59">
        <v>0.5</v>
      </c>
      <c r="AF58" s="147">
        <f t="shared" si="30"/>
        <v>64.612326043737568</v>
      </c>
      <c r="AG58" s="59">
        <v>0.45</v>
      </c>
      <c r="AH58" s="147">
        <f t="shared" si="1"/>
        <v>58.151093439363819</v>
      </c>
      <c r="AI58" s="146">
        <v>50075</v>
      </c>
      <c r="AK58" s="147">
        <f t="shared" si="26"/>
        <v>0</v>
      </c>
      <c r="AL58" s="6"/>
      <c r="AM58" s="147">
        <f>+(($AB$7*0.08)+($Z$7*0.17)+($W$7*0.75))+AF58+AK58+AH58</f>
        <v>680.62703938905179</v>
      </c>
      <c r="AN58" s="147">
        <f>+AB2*0.08+W3*0.92</f>
        <v>620.49554880000005</v>
      </c>
      <c r="AO58" s="147">
        <f t="shared" si="23"/>
        <v>-60.131490589051737</v>
      </c>
      <c r="AP58" s="231">
        <f t="shared" si="29"/>
        <v>-7.9323006712319427E-2</v>
      </c>
      <c r="AQ58" s="12">
        <f t="shared" si="3"/>
        <v>-60492.27953258605</v>
      </c>
      <c r="AR58" t="s">
        <v>383</v>
      </c>
      <c r="AT58" s="237">
        <f t="shared" si="8"/>
        <v>684710.80162538611</v>
      </c>
      <c r="AU58" s="147">
        <f t="shared" si="20"/>
        <v>58500</v>
      </c>
      <c r="AV58" s="147">
        <f t="shared" si="10"/>
        <v>64999.999999999993</v>
      </c>
    </row>
    <row r="59" spans="1:48" x14ac:dyDescent="0.15">
      <c r="I59" s="42"/>
      <c r="S59" t="s">
        <v>384</v>
      </c>
      <c r="T59" s="146">
        <f>15+13+14+5+10</f>
        <v>57</v>
      </c>
      <c r="U59" s="146">
        <v>1385</v>
      </c>
      <c r="V59" s="146">
        <f t="shared" si="22"/>
        <v>24.298245614035089</v>
      </c>
      <c r="W59" s="146">
        <f>358+385+138</f>
        <v>881</v>
      </c>
      <c r="X59" s="146"/>
      <c r="Y59" s="146"/>
      <c r="Z59" s="146">
        <v>413</v>
      </c>
      <c r="AA59" s="10"/>
      <c r="AB59" s="146">
        <v>91</v>
      </c>
      <c r="AD59" s="146">
        <f t="shared" si="4"/>
        <v>1385</v>
      </c>
      <c r="AE59" s="59">
        <v>0.5</v>
      </c>
      <c r="AF59" s="147">
        <f t="shared" si="30"/>
        <v>46.931407942238266</v>
      </c>
      <c r="AG59" s="59"/>
      <c r="AH59" s="147">
        <f t="shared" si="1"/>
        <v>0</v>
      </c>
      <c r="AI59" s="146"/>
      <c r="AK59" s="147">
        <f t="shared" si="26"/>
        <v>0</v>
      </c>
      <c r="AL59" s="30"/>
      <c r="AM59" s="147">
        <f>(+$AB$7*0.07+W7*0.64+Z7*0.29)+AF59+AK59+AH59</f>
        <v>586.21655413845201</v>
      </c>
      <c r="AN59" s="147">
        <f>+W3*0.93+AB2*0.07</f>
        <v>618.00093520000007</v>
      </c>
      <c r="AO59" s="147">
        <f t="shared" si="23"/>
        <v>31.784381061548061</v>
      </c>
      <c r="AP59" s="231">
        <f t="shared" si="29"/>
        <v>4.192865747371214E-2</v>
      </c>
      <c r="AQ59" s="12">
        <f t="shared" si="3"/>
        <v>44021.367770244062</v>
      </c>
      <c r="AR59" t="s">
        <v>384</v>
      </c>
      <c r="AT59" s="237">
        <f t="shared" si="8"/>
        <v>811909.92748175608</v>
      </c>
      <c r="AU59" s="147">
        <f t="shared" si="20"/>
        <v>0</v>
      </c>
      <c r="AV59" s="147">
        <f t="shared" si="10"/>
        <v>65000</v>
      </c>
    </row>
    <row r="60" spans="1:48" x14ac:dyDescent="0.15">
      <c r="A60" s="6"/>
      <c r="C60" s="6"/>
      <c r="D60" s="6"/>
      <c r="E60" s="5"/>
      <c r="F60" s="6"/>
      <c r="I60" s="42"/>
      <c r="M60" s="5"/>
      <c r="S60" t="s">
        <v>385</v>
      </c>
      <c r="T60" s="146">
        <v>10</v>
      </c>
      <c r="U60" s="146">
        <v>93</v>
      </c>
      <c r="V60" s="146">
        <f t="shared" si="22"/>
        <v>9.3000000000000007</v>
      </c>
      <c r="W60" s="146">
        <v>93</v>
      </c>
      <c r="X60" s="146"/>
      <c r="Y60" s="146"/>
      <c r="Z60" s="146"/>
      <c r="AA60" s="10"/>
      <c r="AB60" s="146"/>
      <c r="AC60" s="146"/>
      <c r="AD60" s="146">
        <f t="shared" si="4"/>
        <v>93</v>
      </c>
      <c r="AE60" s="59"/>
      <c r="AF60" s="147">
        <f t="shared" si="30"/>
        <v>0</v>
      </c>
      <c r="AG60" s="59">
        <v>0.4</v>
      </c>
      <c r="AH60" s="147">
        <f t="shared" si="1"/>
        <v>559.13978494623655</v>
      </c>
      <c r="AI60" s="146">
        <v>50073</v>
      </c>
      <c r="AK60" s="147">
        <f t="shared" si="26"/>
        <v>0</v>
      </c>
      <c r="AL60" s="6"/>
      <c r="AM60" s="147">
        <f>+$W$7+AF60+AK60+AH60</f>
        <v>1127.9797026299291</v>
      </c>
      <c r="AN60" s="147">
        <f>+W3</f>
        <v>600.53863999999999</v>
      </c>
      <c r="AO60" s="147">
        <f t="shared" si="23"/>
        <v>-527.44106262992909</v>
      </c>
      <c r="AP60" s="231">
        <f t="shared" si="29"/>
        <v>-0.69577870998202607</v>
      </c>
      <c r="AQ60" s="12">
        <f t="shared" si="3"/>
        <v>-49052.018824583407</v>
      </c>
      <c r="AR60" t="s">
        <v>385</v>
      </c>
      <c r="AT60" s="237">
        <f t="shared" si="8"/>
        <v>104902.11234458341</v>
      </c>
      <c r="AU60" s="147">
        <f t="shared" si="20"/>
        <v>52000</v>
      </c>
      <c r="AV60" s="147">
        <f t="shared" si="10"/>
        <v>0</v>
      </c>
    </row>
    <row r="61" spans="1:48" x14ac:dyDescent="0.15">
      <c r="A61" s="6"/>
      <c r="C61" s="6"/>
      <c r="D61" s="6"/>
      <c r="E61" s="5"/>
      <c r="F61" s="6"/>
      <c r="I61" s="42"/>
      <c r="M61" s="5"/>
      <c r="S61" t="s">
        <v>386</v>
      </c>
      <c r="T61" s="146">
        <v>4</v>
      </c>
      <c r="U61" s="146">
        <v>56</v>
      </c>
      <c r="V61" s="146">
        <f t="shared" si="22"/>
        <v>14</v>
      </c>
      <c r="W61" s="146">
        <v>14</v>
      </c>
      <c r="X61" s="146"/>
      <c r="Y61" s="146"/>
      <c r="Z61" s="146">
        <v>42</v>
      </c>
      <c r="AA61" s="10"/>
      <c r="AB61" s="146"/>
      <c r="AC61" s="146"/>
      <c r="AD61" s="146">
        <f t="shared" si="4"/>
        <v>56</v>
      </c>
      <c r="AE61" s="59"/>
      <c r="AF61" s="147">
        <f t="shared" si="30"/>
        <v>0</v>
      </c>
      <c r="AG61" s="59">
        <v>0.4</v>
      </c>
      <c r="AH61" s="147">
        <f t="shared" si="1"/>
        <v>928.57142857142856</v>
      </c>
      <c r="AI61" s="146">
        <v>50073</v>
      </c>
      <c r="AK61" s="147">
        <f t="shared" si="26"/>
        <v>0</v>
      </c>
      <c r="AL61" s="6"/>
      <c r="AM61" s="147">
        <f>(+$W$7*0.25+Z7*0.75)+AF61+AK61+AH61</f>
        <v>1391.4794298022659</v>
      </c>
      <c r="AN61" s="147">
        <f>+Z3</f>
        <v>600.53863999999999</v>
      </c>
      <c r="AO61" s="147">
        <f t="shared" si="23"/>
        <v>-790.94078980226595</v>
      </c>
      <c r="AP61" s="231">
        <f t="shared" si="29"/>
        <v>-1.0433767891653685</v>
      </c>
      <c r="AQ61" s="12">
        <f t="shared" si="3"/>
        <v>-44292.684228926897</v>
      </c>
      <c r="AR61" t="s">
        <v>386</v>
      </c>
      <c r="AT61" s="237">
        <f t="shared" si="8"/>
        <v>77922.848068926891</v>
      </c>
      <c r="AU61" s="147">
        <f t="shared" si="20"/>
        <v>52000</v>
      </c>
      <c r="AV61" s="147">
        <f t="shared" si="10"/>
        <v>0</v>
      </c>
    </row>
    <row r="62" spans="1:48" x14ac:dyDescent="0.15">
      <c r="A62" s="147"/>
      <c r="C62" s="147"/>
      <c r="D62" s="147"/>
      <c r="E62" s="5"/>
      <c r="F62" s="147"/>
      <c r="I62" s="42"/>
      <c r="M62" s="5"/>
      <c r="S62" t="s">
        <v>387</v>
      </c>
      <c r="T62" s="146">
        <v>39.532238</v>
      </c>
      <c r="U62" s="146">
        <v>979</v>
      </c>
      <c r="V62" s="146">
        <f t="shared" si="22"/>
        <v>24.764598452533853</v>
      </c>
      <c r="W62" s="146">
        <v>979</v>
      </c>
      <c r="X62" s="146"/>
      <c r="Y62" s="146"/>
      <c r="Z62" s="146"/>
      <c r="AA62" s="146"/>
      <c r="AB62" s="146"/>
      <c r="AC62" s="146"/>
      <c r="AD62" s="146">
        <f t="shared" si="4"/>
        <v>979</v>
      </c>
      <c r="AE62" s="59"/>
      <c r="AF62" s="147">
        <f t="shared" si="30"/>
        <v>0</v>
      </c>
      <c r="AG62" s="59">
        <v>0.4</v>
      </c>
      <c r="AH62" s="147">
        <f t="shared" si="1"/>
        <v>53.115423901940758</v>
      </c>
      <c r="AI62" s="146">
        <v>50073</v>
      </c>
      <c r="AK62" s="147">
        <f t="shared" si="26"/>
        <v>0</v>
      </c>
      <c r="AL62" s="147"/>
      <c r="AM62" s="147">
        <f>+$W$7+AF62+AK62+AH62</f>
        <v>621.95534158563328</v>
      </c>
      <c r="AN62" s="147">
        <f>+W3</f>
        <v>600.53863999999999</v>
      </c>
      <c r="AO62" s="147">
        <f t="shared" si="23"/>
        <v>-21.416701585633291</v>
      </c>
      <c r="AP62" s="231">
        <f>+(AO62)/$C$22</f>
        <v>-2.825203810833591E-2</v>
      </c>
      <c r="AQ62" s="12">
        <f t="shared" si="3"/>
        <v>-20966.95085233499</v>
      </c>
      <c r="AR62" t="s">
        <v>387</v>
      </c>
      <c r="AT62" s="237">
        <f t="shared" si="8"/>
        <v>608894.27941233502</v>
      </c>
      <c r="AU62" s="147"/>
      <c r="AV62" s="147">
        <f t="shared" si="10"/>
        <v>0</v>
      </c>
    </row>
    <row r="63" spans="1:48" x14ac:dyDescent="0.15">
      <c r="A63" s="6"/>
      <c r="C63" s="6"/>
      <c r="D63" s="6"/>
      <c r="E63" s="5"/>
      <c r="F63" s="6"/>
      <c r="I63" s="45"/>
      <c r="S63" t="s">
        <v>388</v>
      </c>
      <c r="T63" s="146">
        <v>17.8</v>
      </c>
      <c r="U63" s="146">
        <v>255</v>
      </c>
      <c r="V63" s="146">
        <f t="shared" si="22"/>
        <v>14.325842696629213</v>
      </c>
      <c r="W63" s="10">
        <v>137</v>
      </c>
      <c r="X63" s="146"/>
      <c r="Y63" s="146"/>
      <c r="Z63" s="146"/>
      <c r="AA63" s="10"/>
      <c r="AB63" s="146">
        <v>118</v>
      </c>
      <c r="AD63" s="146">
        <f t="shared" si="4"/>
        <v>255</v>
      </c>
      <c r="AE63" s="59"/>
      <c r="AF63" s="147">
        <f t="shared" si="30"/>
        <v>0</v>
      </c>
      <c r="AG63" s="59">
        <v>0.4</v>
      </c>
      <c r="AH63" s="147">
        <f t="shared" si="1"/>
        <v>203.92156862745097</v>
      </c>
      <c r="AI63" s="146">
        <v>50073</v>
      </c>
      <c r="AJ63" s="59">
        <v>0.8</v>
      </c>
      <c r="AK63" s="147">
        <f t="shared" si="26"/>
        <v>62.745098039215684</v>
      </c>
      <c r="AL63" s="6"/>
      <c r="AM63" s="147">
        <f>+($W$7*0.54+AB7*0.46)+AF63+AK63+AH63</f>
        <v>910.45746990522969</v>
      </c>
      <c r="AN63" s="147">
        <f>+W3*0.54+AB2*0.46</f>
        <v>715.29086559999996</v>
      </c>
      <c r="AO63" s="147">
        <f t="shared" si="23"/>
        <v>-195.16660430522973</v>
      </c>
      <c r="AP63" s="231">
        <f t="shared" si="29"/>
        <v>-0.25745581411120089</v>
      </c>
      <c r="AQ63" s="12">
        <f t="shared" si="3"/>
        <v>-49767.484097833578</v>
      </c>
      <c r="AR63" t="s">
        <v>388</v>
      </c>
      <c r="AT63" s="237">
        <f t="shared" si="8"/>
        <v>232166.65482583357</v>
      </c>
      <c r="AU63" s="147">
        <f t="shared" si="20"/>
        <v>52000</v>
      </c>
      <c r="AV63" s="147">
        <f t="shared" si="10"/>
        <v>0</v>
      </c>
    </row>
    <row r="64" spans="1:48" x14ac:dyDescent="0.15">
      <c r="A64" s="6"/>
      <c r="C64" s="6"/>
      <c r="D64" s="6"/>
      <c r="E64" s="5"/>
      <c r="F64" s="6"/>
      <c r="I64" s="47"/>
      <c r="S64" t="s">
        <v>389</v>
      </c>
      <c r="T64" s="146">
        <v>28</v>
      </c>
      <c r="U64" s="146">
        <v>701</v>
      </c>
      <c r="V64" s="146">
        <f t="shared" si="22"/>
        <v>25.035714285714285</v>
      </c>
      <c r="W64" s="146"/>
      <c r="X64" s="146"/>
      <c r="Y64" s="146">
        <v>551</v>
      </c>
      <c r="Z64" s="146">
        <v>150</v>
      </c>
      <c r="AA64" s="10"/>
      <c r="AB64" s="146"/>
      <c r="AC64" s="146"/>
      <c r="AD64" s="146">
        <f t="shared" si="4"/>
        <v>701</v>
      </c>
      <c r="AE64" s="59">
        <v>0.1</v>
      </c>
      <c r="AF64" s="147">
        <f t="shared" ref="AF64:AF129" si="31">+AE64*$AF$7/AD64</f>
        <v>18.54493580599144</v>
      </c>
      <c r="AG64" s="59">
        <v>0.4</v>
      </c>
      <c r="AH64" s="147">
        <f t="shared" si="1"/>
        <v>74.179743223965758</v>
      </c>
      <c r="AI64" s="146">
        <v>50073</v>
      </c>
      <c r="AJ64" s="59"/>
      <c r="AK64" s="147">
        <f t="shared" si="26"/>
        <v>0</v>
      </c>
      <c r="AL64" s="6"/>
      <c r="AM64" s="147">
        <f>(+$Y$7*0.8+$Z$7*0.2)+AF64+AK64+AH64</f>
        <v>652.5010759447689</v>
      </c>
      <c r="AN64" s="147">
        <f>+Y3</f>
        <v>600.53863999999999</v>
      </c>
      <c r="AO64" s="147">
        <f t="shared" si="23"/>
        <v>-51.962435944768913</v>
      </c>
      <c r="AP64" s="231">
        <f t="shared" si="29"/>
        <v>-6.8546723436552243E-2</v>
      </c>
      <c r="AQ64" s="12">
        <f t="shared" si="3"/>
        <v>-36425.667597283005</v>
      </c>
      <c r="AR64" t="s">
        <v>389</v>
      </c>
      <c r="AT64" s="237">
        <f t="shared" si="8"/>
        <v>457403.25423728302</v>
      </c>
      <c r="AU64" s="147"/>
      <c r="AV64" s="147">
        <f t="shared" si="10"/>
        <v>13000</v>
      </c>
    </row>
    <row r="65" spans="1:48" x14ac:dyDescent="0.15">
      <c r="A65" s="6"/>
      <c r="C65" s="6"/>
      <c r="D65" s="6"/>
      <c r="E65" s="5"/>
      <c r="F65" s="6"/>
      <c r="I65" s="48"/>
      <c r="L65" s="9"/>
      <c r="S65" t="s">
        <v>390</v>
      </c>
      <c r="T65" s="146">
        <v>37.299999999999997</v>
      </c>
      <c r="U65" s="146">
        <v>1048</v>
      </c>
      <c r="V65" s="146">
        <f t="shared" si="22"/>
        <v>28.096514745308312</v>
      </c>
      <c r="W65" s="146">
        <v>760</v>
      </c>
      <c r="X65" s="146"/>
      <c r="Y65" s="146"/>
      <c r="Z65" s="146">
        <v>288</v>
      </c>
      <c r="AB65" s="146"/>
      <c r="AD65" s="146">
        <f t="shared" si="4"/>
        <v>1048</v>
      </c>
      <c r="AE65" s="59"/>
      <c r="AF65" s="147">
        <f t="shared" si="31"/>
        <v>0</v>
      </c>
      <c r="AG65" s="59">
        <v>0.5</v>
      </c>
      <c r="AH65" s="147">
        <f t="shared" si="1"/>
        <v>62.022900763358777</v>
      </c>
      <c r="AI65" s="146">
        <v>50073</v>
      </c>
      <c r="AJ65" s="59"/>
      <c r="AK65" s="147">
        <f t="shared" si="26"/>
        <v>0</v>
      </c>
      <c r="AL65" s="6"/>
      <c r="AM65" s="147">
        <f>+($W$7*0.73+Z7*0.27)+AF65+AK65+AH65</f>
        <v>592.72732852402339</v>
      </c>
      <c r="AN65" s="147">
        <f>+W3</f>
        <v>600.53863999999999</v>
      </c>
      <c r="AO65" s="147">
        <f t="shared" si="23"/>
        <v>7.8113114759765949</v>
      </c>
      <c r="AP65" s="231">
        <f t="shared" si="29"/>
        <v>1.0304363097789631E-2</v>
      </c>
      <c r="AQ65" s="12">
        <f t="shared" si="3"/>
        <v>8186.2544268234715</v>
      </c>
      <c r="AR65" t="s">
        <v>390</v>
      </c>
      <c r="AT65" s="237">
        <f t="shared" si="8"/>
        <v>621178.2402931765</v>
      </c>
      <c r="AU65" s="147">
        <f t="shared" si="20"/>
        <v>65000</v>
      </c>
      <c r="AV65" s="147">
        <f t="shared" si="10"/>
        <v>0</v>
      </c>
    </row>
    <row r="66" spans="1:48" ht="15" x14ac:dyDescent="0.2">
      <c r="A66" s="6"/>
      <c r="C66" s="6"/>
      <c r="D66" s="6"/>
      <c r="E66" s="5"/>
      <c r="F66" s="6"/>
      <c r="I66" s="15"/>
      <c r="S66" t="s">
        <v>391</v>
      </c>
      <c r="T66" s="238">
        <f>5+9+12+13+3</f>
        <v>42</v>
      </c>
      <c r="U66" s="238">
        <v>1660</v>
      </c>
      <c r="V66" s="146">
        <f t="shared" si="22"/>
        <v>39.523809523809526</v>
      </c>
      <c r="W66" s="146">
        <f>197+356+474+119</f>
        <v>1146</v>
      </c>
      <c r="X66" s="146"/>
      <c r="Y66" s="146"/>
      <c r="Z66" s="146">
        <v>514</v>
      </c>
      <c r="AB66" s="146"/>
      <c r="AD66" s="146">
        <f>SUM(W66:AB66)</f>
        <v>1660</v>
      </c>
      <c r="AE66" s="59">
        <v>0.1</v>
      </c>
      <c r="AF66" s="147">
        <f t="shared" si="31"/>
        <v>7.831325301204819</v>
      </c>
      <c r="AG66" s="59">
        <v>0.9</v>
      </c>
      <c r="AH66" s="147">
        <f t="shared" si="1"/>
        <v>70.481927710843379</v>
      </c>
      <c r="AI66" s="146">
        <v>50030</v>
      </c>
      <c r="AJ66" s="59"/>
      <c r="AK66" s="147">
        <f t="shared" si="26"/>
        <v>0</v>
      </c>
      <c r="AL66" s="6"/>
      <c r="AM66" s="147">
        <f>(+$W$7*0.7+Z7*0.3)+AF66+AK66+AH66</f>
        <v>604.7804041145987</v>
      </c>
      <c r="AN66" s="147">
        <f>+W3</f>
        <v>600.53863999999999</v>
      </c>
      <c r="AO66" s="147">
        <f t="shared" si="23"/>
        <v>-4.2417641145987091</v>
      </c>
      <c r="AP66" s="231">
        <f t="shared" si="29"/>
        <v>-5.5955619931971345E-3</v>
      </c>
      <c r="AQ66" s="12">
        <f t="shared" si="3"/>
        <v>-7041.328430233857</v>
      </c>
      <c r="AR66" t="s">
        <v>391</v>
      </c>
      <c r="AT66" s="237">
        <f t="shared" si="8"/>
        <v>1003935.4708302339</v>
      </c>
      <c r="AU66" s="147">
        <f t="shared" si="20"/>
        <v>117000.00000000001</v>
      </c>
      <c r="AV66" s="147">
        <f t="shared" si="10"/>
        <v>13000</v>
      </c>
    </row>
    <row r="67" spans="1:48" x14ac:dyDescent="0.15">
      <c r="I67" s="48"/>
      <c r="S67" t="s">
        <v>392</v>
      </c>
      <c r="T67" s="146">
        <v>5</v>
      </c>
      <c r="U67" s="146">
        <v>111</v>
      </c>
      <c r="V67" s="146">
        <f t="shared" si="22"/>
        <v>22.2</v>
      </c>
      <c r="W67" s="146">
        <v>67</v>
      </c>
      <c r="X67" s="146"/>
      <c r="Y67" s="146"/>
      <c r="Z67" s="146">
        <v>44</v>
      </c>
      <c r="AB67" s="146"/>
      <c r="AD67" s="146">
        <f t="shared" si="4"/>
        <v>111</v>
      </c>
      <c r="AE67" s="59"/>
      <c r="AF67" s="147">
        <f t="shared" si="31"/>
        <v>0</v>
      </c>
      <c r="AG67" s="59"/>
      <c r="AH67" s="147">
        <f t="shared" si="1"/>
        <v>0</v>
      </c>
      <c r="AI67" s="146"/>
      <c r="AJ67" s="59"/>
      <c r="AK67" s="147">
        <f t="shared" si="26"/>
        <v>0</v>
      </c>
      <c r="AL67" s="6"/>
      <c r="AM67" s="147">
        <f>+($W$7*0.6+Z7*0.4)+AF67+AK67+AH67</f>
        <v>512.34289557550312</v>
      </c>
      <c r="AN67" s="147">
        <f>+W3</f>
        <v>600.53863999999999</v>
      </c>
      <c r="AO67" s="147">
        <f t="shared" si="23"/>
        <v>88.195744424496866</v>
      </c>
      <c r="AP67" s="231">
        <f t="shared" si="29"/>
        <v>0.11634422427333177</v>
      </c>
      <c r="AQ67" s="12">
        <f t="shared" si="3"/>
        <v>9789.7276311191526</v>
      </c>
      <c r="AR67" t="s">
        <v>392</v>
      </c>
      <c r="AT67" s="237">
        <f t="shared" si="8"/>
        <v>56870.061408880843</v>
      </c>
      <c r="AU67" s="147">
        <f t="shared" si="20"/>
        <v>0</v>
      </c>
      <c r="AV67" s="147">
        <f t="shared" si="10"/>
        <v>0</v>
      </c>
    </row>
    <row r="68" spans="1:48" x14ac:dyDescent="0.15">
      <c r="S68" t="s">
        <v>393</v>
      </c>
      <c r="T68" s="146">
        <f>15+25+20</f>
        <v>60</v>
      </c>
      <c r="U68" s="239">
        <v>690</v>
      </c>
      <c r="V68" s="146">
        <f t="shared" si="22"/>
        <v>11.5</v>
      </c>
      <c r="W68" s="146">
        <f>163+281</f>
        <v>444</v>
      </c>
      <c r="X68" s="146"/>
      <c r="Y68" s="146"/>
      <c r="Z68" s="146">
        <v>148</v>
      </c>
      <c r="AA68">
        <f>54+44</f>
        <v>98</v>
      </c>
      <c r="AB68" s="146"/>
      <c r="AD68" s="146">
        <f t="shared" si="4"/>
        <v>690</v>
      </c>
      <c r="AE68" s="59">
        <v>0.2</v>
      </c>
      <c r="AF68" s="147">
        <f t="shared" si="31"/>
        <v>37.681159420289852</v>
      </c>
      <c r="AG68" s="59">
        <v>0.6</v>
      </c>
      <c r="AH68" s="147">
        <f t="shared" si="1"/>
        <v>113.04347826086956</v>
      </c>
      <c r="AI68" s="146">
        <v>50074</v>
      </c>
      <c r="AJ68" s="59"/>
      <c r="AK68" s="147">
        <f t="shared" si="26"/>
        <v>0</v>
      </c>
      <c r="AL68" s="6"/>
      <c r="AM68" s="147">
        <f>+$W$7*0.64+Z7*0.25+AA7*0.11+AF68+AK68+AH68</f>
        <v>677.29581269758978</v>
      </c>
      <c r="AN68" s="147">
        <f>+W3*0.89+AA3*0.11</f>
        <v>611.47938959999999</v>
      </c>
      <c r="AO68" s="147">
        <f t="shared" si="23"/>
        <v>-65.816423097589791</v>
      </c>
      <c r="AP68" s="231">
        <f t="shared" si="29"/>
        <v>-8.68223375141398E-2</v>
      </c>
      <c r="AQ68" s="12">
        <f t="shared" si="3"/>
        <v>-45413.331937336952</v>
      </c>
      <c r="AR68" t="s">
        <v>393</v>
      </c>
      <c r="AT68" s="237">
        <f t="shared" si="8"/>
        <v>467334.11076133692</v>
      </c>
      <c r="AU68" s="147">
        <f t="shared" si="20"/>
        <v>78000</v>
      </c>
      <c r="AV68" s="147">
        <f t="shared" si="10"/>
        <v>25999.999999999996</v>
      </c>
    </row>
    <row r="69" spans="1:48" x14ac:dyDescent="0.15">
      <c r="S69" t="s">
        <v>394</v>
      </c>
      <c r="T69" s="146">
        <v>30.6</v>
      </c>
      <c r="U69" s="146">
        <v>487</v>
      </c>
      <c r="V69" s="146">
        <f t="shared" si="22"/>
        <v>15.915032679738561</v>
      </c>
      <c r="W69" s="146">
        <v>330</v>
      </c>
      <c r="X69" s="146"/>
      <c r="Y69" s="146"/>
      <c r="Z69" s="146">
        <v>157</v>
      </c>
      <c r="AB69" s="146"/>
      <c r="AC69" s="146"/>
      <c r="AD69" s="146">
        <f t="shared" si="4"/>
        <v>487</v>
      </c>
      <c r="AE69" s="59"/>
      <c r="AF69" s="147">
        <f t="shared" si="31"/>
        <v>0</v>
      </c>
      <c r="AG69" s="59">
        <v>0.6</v>
      </c>
      <c r="AH69" s="147">
        <f t="shared" si="1"/>
        <v>160.16427104722791</v>
      </c>
      <c r="AI69" s="146">
        <v>50074</v>
      </c>
      <c r="AJ69" s="59"/>
      <c r="AK69" s="147">
        <f t="shared" si="26"/>
        <v>0</v>
      </c>
      <c r="AL69" s="6"/>
      <c r="AM69" s="147">
        <f>(+$W$7*0.61+Z7*0.39)+AF69+AK69+AH69</f>
        <v>673.9195921754357</v>
      </c>
      <c r="AN69" s="147">
        <f>+W3</f>
        <v>600.53863999999999</v>
      </c>
      <c r="AO69" s="147">
        <f t="shared" si="23"/>
        <v>-73.380952175435709</v>
      </c>
      <c r="AP69" s="231">
        <f t="shared" si="29"/>
        <v>-9.6801155350509177E-2</v>
      </c>
      <c r="AQ69" s="12">
        <f t="shared" si="3"/>
        <v>-35736.523709437191</v>
      </c>
      <c r="AR69" t="s">
        <v>394</v>
      </c>
      <c r="AT69" s="237">
        <f t="shared" si="8"/>
        <v>328198.84138943721</v>
      </c>
      <c r="AU69" s="147">
        <f t="shared" si="20"/>
        <v>78000</v>
      </c>
      <c r="AV69" s="147">
        <f t="shared" si="10"/>
        <v>0</v>
      </c>
    </row>
    <row r="70" spans="1:48" x14ac:dyDescent="0.15">
      <c r="S70" t="s">
        <v>395</v>
      </c>
      <c r="T70" s="146">
        <v>21.7</v>
      </c>
      <c r="U70" s="146">
        <v>360</v>
      </c>
      <c r="V70" s="146">
        <f t="shared" si="22"/>
        <v>16.589861751152075</v>
      </c>
      <c r="W70" s="10"/>
      <c r="X70" s="146"/>
      <c r="Y70" s="146"/>
      <c r="Z70" s="146">
        <f>49+311</f>
        <v>360</v>
      </c>
      <c r="AB70" s="146"/>
      <c r="AD70" s="146">
        <f t="shared" si="4"/>
        <v>360</v>
      </c>
      <c r="AE70" s="59">
        <v>0.05</v>
      </c>
      <c r="AF70" s="147">
        <f t="shared" si="31"/>
        <v>18.055555555555557</v>
      </c>
      <c r="AG70" s="59">
        <v>0.5</v>
      </c>
      <c r="AH70" s="147">
        <f t="shared" si="1"/>
        <v>180.55555555555554</v>
      </c>
      <c r="AI70" s="146">
        <v>50074</v>
      </c>
      <c r="AJ70" s="59">
        <v>0.6</v>
      </c>
      <c r="AK70" s="147">
        <f t="shared" si="26"/>
        <v>33.333333333333336</v>
      </c>
      <c r="AL70" s="6"/>
      <c r="AM70" s="147">
        <f>+$Z$7+AF70+AK70+AH70</f>
        <v>659.54180685766346</v>
      </c>
      <c r="AN70" s="147">
        <f>+Z3</f>
        <v>600.53863999999999</v>
      </c>
      <c r="AO70" s="147">
        <f t="shared" si="23"/>
        <v>-59.003166857663473</v>
      </c>
      <c r="AP70" s="231">
        <f t="shared" si="29"/>
        <v>-7.7834568124787118E-2</v>
      </c>
      <c r="AQ70" s="12">
        <f t="shared" ref="AQ70:AQ134" si="32">+AO70*AD70</f>
        <v>-21241.14006875885</v>
      </c>
      <c r="AR70" t="s">
        <v>395</v>
      </c>
      <c r="AT70" s="237">
        <f t="shared" si="8"/>
        <v>237435.05046875885</v>
      </c>
      <c r="AU70" s="147">
        <f t="shared" si="20"/>
        <v>64999.999999999993</v>
      </c>
      <c r="AV70" s="147">
        <f t="shared" si="10"/>
        <v>6500.0000000000009</v>
      </c>
    </row>
    <row r="71" spans="1:48" x14ac:dyDescent="0.15">
      <c r="S71" t="s">
        <v>396</v>
      </c>
      <c r="T71" s="146">
        <f>21+10+8</f>
        <v>39</v>
      </c>
      <c r="U71" s="146">
        <v>413</v>
      </c>
      <c r="V71" s="146">
        <f t="shared" si="22"/>
        <v>10.589743589743589</v>
      </c>
      <c r="W71" s="146">
        <f>50+50</f>
        <v>100</v>
      </c>
      <c r="Z71">
        <f>116+83</f>
        <v>199</v>
      </c>
      <c r="AA71">
        <v>114</v>
      </c>
      <c r="AB71" s="146"/>
      <c r="AD71" s="146">
        <f t="shared" si="4"/>
        <v>413</v>
      </c>
      <c r="AE71" s="59">
        <v>0.5</v>
      </c>
      <c r="AF71" s="147">
        <f t="shared" si="31"/>
        <v>157.38498789346247</v>
      </c>
      <c r="AG71" s="59"/>
      <c r="AH71" s="147">
        <f t="shared" si="1"/>
        <v>0</v>
      </c>
      <c r="AI71" s="146"/>
      <c r="AJ71" s="59"/>
      <c r="AK71" s="147">
        <f t="shared" si="26"/>
        <v>0</v>
      </c>
      <c r="AL71" s="147"/>
      <c r="AM71" s="147">
        <f>(+$W$7*0.24+Z7*0.48+AA7*0.28)+AF71+AK71+AH71</f>
        <v>640.71694197550721</v>
      </c>
      <c r="AN71" s="147">
        <f>+W3*0.72+AA3*0.28</f>
        <v>628.38782079999999</v>
      </c>
      <c r="AO71" s="147">
        <f t="shared" si="23"/>
        <v>-12.329121175507225</v>
      </c>
      <c r="AP71" s="231">
        <f t="shared" si="29"/>
        <v>-1.6264073153374026E-2</v>
      </c>
      <c r="AQ71" s="12">
        <f t="shared" si="32"/>
        <v>-5091.9270454844846</v>
      </c>
      <c r="AR71" t="s">
        <v>396</v>
      </c>
      <c r="AT71" s="237">
        <f t="shared" ref="AT71:AT135" si="33">+AM71*AD71</f>
        <v>264616.09703588445</v>
      </c>
      <c r="AU71" s="147">
        <f t="shared" si="20"/>
        <v>0</v>
      </c>
      <c r="AV71" s="147">
        <f t="shared" si="10"/>
        <v>65000</v>
      </c>
    </row>
    <row r="72" spans="1:48" x14ac:dyDescent="0.15">
      <c r="S72" t="s">
        <v>397</v>
      </c>
      <c r="T72" s="146">
        <v>21.208023000000001</v>
      </c>
      <c r="U72" s="146">
        <v>209</v>
      </c>
      <c r="V72" s="146">
        <f t="shared" si="22"/>
        <v>9.8547610967792707</v>
      </c>
      <c r="W72" s="146"/>
      <c r="AB72" s="146">
        <v>209</v>
      </c>
      <c r="AD72" s="146">
        <f t="shared" ref="AD72:AD138" si="34">SUM(W72:AC72)</f>
        <v>209</v>
      </c>
      <c r="AF72" s="147">
        <f t="shared" si="31"/>
        <v>0</v>
      </c>
      <c r="AG72" s="59"/>
      <c r="AH72" s="147">
        <f t="shared" si="1"/>
        <v>0</v>
      </c>
      <c r="AI72" s="146"/>
      <c r="AK72" s="147">
        <f t="shared" si="26"/>
        <v>0</v>
      </c>
      <c r="AM72" s="147">
        <f t="shared" ref="AM72:AM130" si="35">+$AB$7+AF72+AK72+AH72</f>
        <v>731.77662541167183</v>
      </c>
      <c r="AN72" s="147">
        <f>+AB2</f>
        <v>850</v>
      </c>
      <c r="AO72" s="147">
        <f t="shared" si="23"/>
        <v>118.22337458832817</v>
      </c>
      <c r="AP72" s="231">
        <f t="shared" si="29"/>
        <v>0.15595544770563946</v>
      </c>
      <c r="AQ72" s="12">
        <f t="shared" si="32"/>
        <v>24708.685288960587</v>
      </c>
      <c r="AR72" t="s">
        <v>397</v>
      </c>
      <c r="AT72" s="237">
        <f t="shared" si="33"/>
        <v>152941.31471103942</v>
      </c>
      <c r="AU72" s="147">
        <f t="shared" ref="AU72:AU138" si="36">+AH72*AD72</f>
        <v>0</v>
      </c>
      <c r="AV72" s="147">
        <f t="shared" si="10"/>
        <v>0</v>
      </c>
    </row>
    <row r="73" spans="1:48" x14ac:dyDescent="0.15">
      <c r="S73" t="s">
        <v>398</v>
      </c>
      <c r="T73" s="146">
        <v>36.467336000000003</v>
      </c>
      <c r="U73" s="146">
        <v>211</v>
      </c>
      <c r="V73" s="146">
        <f t="shared" si="22"/>
        <v>5.7859998328367057</v>
      </c>
      <c r="W73" s="146"/>
      <c r="X73" s="43"/>
      <c r="Y73" s="43"/>
      <c r="AA73" s="43"/>
      <c r="AB73" s="146">
        <v>211</v>
      </c>
      <c r="AC73" s="43"/>
      <c r="AD73" s="146">
        <f t="shared" si="34"/>
        <v>211</v>
      </c>
      <c r="AE73" s="233"/>
      <c r="AF73" s="147">
        <f t="shared" si="31"/>
        <v>0</v>
      </c>
      <c r="AG73" s="233"/>
      <c r="AH73" s="147">
        <f t="shared" si="1"/>
        <v>0</v>
      </c>
      <c r="AI73" s="146"/>
      <c r="AJ73" s="43"/>
      <c r="AK73" s="147">
        <f t="shared" si="26"/>
        <v>0</v>
      </c>
      <c r="AM73" s="147">
        <f t="shared" si="35"/>
        <v>731.77662541167183</v>
      </c>
      <c r="AN73" s="147">
        <f>+AB2</f>
        <v>850</v>
      </c>
      <c r="AO73" s="147">
        <f t="shared" si="23"/>
        <v>118.22337458832817</v>
      </c>
      <c r="AP73" s="231">
        <f t="shared" si="29"/>
        <v>0.15595544770563946</v>
      </c>
      <c r="AQ73" s="12">
        <f t="shared" si="32"/>
        <v>24945.132038137242</v>
      </c>
      <c r="AR73" t="s">
        <v>398</v>
      </c>
      <c r="AT73" s="237">
        <f t="shared" si="33"/>
        <v>154404.86796186276</v>
      </c>
      <c r="AU73" s="147"/>
      <c r="AV73" s="147">
        <f t="shared" si="10"/>
        <v>0</v>
      </c>
    </row>
    <row r="74" spans="1:48" x14ac:dyDescent="0.15">
      <c r="S74" t="s">
        <v>399</v>
      </c>
      <c r="T74" s="146">
        <v>12</v>
      </c>
      <c r="U74" s="146">
        <v>194</v>
      </c>
      <c r="V74" s="10">
        <f t="shared" si="22"/>
        <v>16.166666666666668</v>
      </c>
      <c r="W74" s="146"/>
      <c r="X74" s="146"/>
      <c r="Y74" s="146">
        <v>182</v>
      </c>
      <c r="Z74" s="146"/>
      <c r="AA74" s="10">
        <v>12</v>
      </c>
      <c r="AB74" s="146"/>
      <c r="AD74" s="146">
        <f t="shared" si="34"/>
        <v>194</v>
      </c>
      <c r="AE74" s="59">
        <v>0.15</v>
      </c>
      <c r="AF74" s="147">
        <f t="shared" si="31"/>
        <v>100.51546391752578</v>
      </c>
      <c r="AG74" s="59"/>
      <c r="AH74" s="147">
        <f t="shared" si="1"/>
        <v>0</v>
      </c>
      <c r="AI74" s="147"/>
      <c r="AK74" s="147">
        <f t="shared" si="26"/>
        <v>0</v>
      </c>
      <c r="AL74" s="6"/>
      <c r="AM74" s="147">
        <f>+($Y$7*0.77+AA7*0.33)+AF74+AK74+AH74</f>
        <v>723.83061497017457</v>
      </c>
      <c r="AN74" s="147">
        <f>+Y3*0.77+AA3*0.33</f>
        <v>693.41475279999997</v>
      </c>
      <c r="AO74" s="147">
        <f t="shared" si="23"/>
        <v>-30.415862170174591</v>
      </c>
      <c r="AP74" s="231">
        <f t="shared" si="29"/>
        <v>-4.0123363240308949E-2</v>
      </c>
      <c r="AQ74" s="12">
        <f t="shared" si="32"/>
        <v>-5900.6772610138705</v>
      </c>
      <c r="AR74" t="s">
        <v>399</v>
      </c>
      <c r="AT74" s="237">
        <f t="shared" si="33"/>
        <v>140423.13930421387</v>
      </c>
      <c r="AU74" s="147">
        <f t="shared" si="36"/>
        <v>0</v>
      </c>
      <c r="AV74" s="147">
        <f t="shared" si="10"/>
        <v>19500</v>
      </c>
    </row>
    <row r="75" spans="1:48" x14ac:dyDescent="0.15">
      <c r="S75" t="s">
        <v>400</v>
      </c>
      <c r="T75" s="146">
        <v>60.498460000000001</v>
      </c>
      <c r="U75" s="146">
        <v>755</v>
      </c>
      <c r="V75" s="10">
        <f t="shared" si="22"/>
        <v>12.479656506959019</v>
      </c>
      <c r="W75" s="146"/>
      <c r="X75" s="146"/>
      <c r="Y75" s="146"/>
      <c r="Z75" s="146"/>
      <c r="AA75" s="10"/>
      <c r="AB75" s="146">
        <v>755</v>
      </c>
      <c r="AC75" s="146"/>
      <c r="AD75" s="146">
        <f t="shared" si="34"/>
        <v>755</v>
      </c>
      <c r="AE75" s="59"/>
      <c r="AF75" s="147">
        <f t="shared" si="31"/>
        <v>0</v>
      </c>
      <c r="AG75" s="59"/>
      <c r="AH75" s="147">
        <f t="shared" ref="AH75:AH138" si="37">+AG75*$C$41/AD75</f>
        <v>0</v>
      </c>
      <c r="AI75" s="147"/>
      <c r="AK75" s="147">
        <f t="shared" si="26"/>
        <v>0</v>
      </c>
      <c r="AL75" s="6"/>
      <c r="AM75" s="147">
        <f t="shared" si="35"/>
        <v>731.77662541167183</v>
      </c>
      <c r="AN75" s="147">
        <f>+AB2</f>
        <v>850</v>
      </c>
      <c r="AO75" s="147">
        <f t="shared" si="23"/>
        <v>118.22337458832817</v>
      </c>
      <c r="AP75" s="5">
        <f t="shared" ref="AP75:AP81" si="38">+(AO75)/AB$3</f>
        <v>0.12322494596112429</v>
      </c>
      <c r="AQ75" s="12">
        <f t="shared" si="32"/>
        <v>89258.647814187774</v>
      </c>
      <c r="AR75" t="s">
        <v>400</v>
      </c>
      <c r="AT75" s="237">
        <f t="shared" si="33"/>
        <v>552491.3521858122</v>
      </c>
      <c r="AU75" s="147">
        <f t="shared" si="36"/>
        <v>0</v>
      </c>
      <c r="AV75" s="147">
        <f t="shared" ref="AV75:AV138" si="39">+AF75*AD75</f>
        <v>0</v>
      </c>
    </row>
    <row r="76" spans="1:48" x14ac:dyDescent="0.15">
      <c r="S76" t="s">
        <v>401</v>
      </c>
      <c r="T76" s="146">
        <f>19+7+15</f>
        <v>41</v>
      </c>
      <c r="U76" s="146">
        <v>270</v>
      </c>
      <c r="V76" s="10">
        <f t="shared" si="22"/>
        <v>6.5853658536585362</v>
      </c>
      <c r="W76" s="10"/>
      <c r="X76" s="146"/>
      <c r="Y76" s="146"/>
      <c r="Z76" s="146">
        <f>19+48+57+86</f>
        <v>210</v>
      </c>
      <c r="AA76" s="10"/>
      <c r="AB76" s="146">
        <v>60</v>
      </c>
      <c r="AC76" s="146"/>
      <c r="AD76" s="146">
        <f t="shared" si="34"/>
        <v>270</v>
      </c>
      <c r="AE76" s="59"/>
      <c r="AF76" s="147">
        <f t="shared" si="31"/>
        <v>0</v>
      </c>
      <c r="AG76" s="59"/>
      <c r="AH76" s="147">
        <f t="shared" si="37"/>
        <v>0</v>
      </c>
      <c r="AI76" s="147"/>
      <c r="AK76" s="147">
        <f t="shared" si="26"/>
        <v>0</v>
      </c>
      <c r="AL76" s="6"/>
      <c r="AM76" s="147">
        <f>+$Z$7*0.78+AB7*0.22+AF76+AK76+AH76</f>
        <v>494.51680027287864</v>
      </c>
      <c r="AN76" s="147">
        <f>+Z3*0.78+AB2*0.22</f>
        <v>655.42013919999999</v>
      </c>
      <c r="AO76" s="147">
        <f t="shared" si="23"/>
        <v>160.90333892712135</v>
      </c>
      <c r="AP76" s="5">
        <f t="shared" si="38"/>
        <v>0.16771053366815739</v>
      </c>
      <c r="AQ76" s="12">
        <f t="shared" si="32"/>
        <v>43443.901510322765</v>
      </c>
      <c r="AR76" t="s">
        <v>401</v>
      </c>
      <c r="AT76" s="237">
        <f t="shared" si="33"/>
        <v>133519.53607367724</v>
      </c>
      <c r="AU76" s="147"/>
      <c r="AV76" s="147">
        <f t="shared" si="39"/>
        <v>0</v>
      </c>
    </row>
    <row r="77" spans="1:48" x14ac:dyDescent="0.15">
      <c r="S77" t="s">
        <v>402</v>
      </c>
      <c r="T77" s="146">
        <v>39.863720999999998</v>
      </c>
      <c r="U77" s="146">
        <v>1020</v>
      </c>
      <c r="V77" s="10">
        <f t="shared" si="22"/>
        <v>25.587174865085977</v>
      </c>
      <c r="W77" s="10">
        <v>1020</v>
      </c>
      <c r="X77" s="146"/>
      <c r="Y77" s="146"/>
      <c r="Z77" s="146"/>
      <c r="AA77" s="10"/>
      <c r="AB77" s="146"/>
      <c r="AC77" s="146"/>
      <c r="AD77" s="146">
        <f t="shared" si="34"/>
        <v>1020</v>
      </c>
      <c r="AE77" s="59">
        <v>0.5</v>
      </c>
      <c r="AF77" s="147">
        <f t="shared" si="31"/>
        <v>63.725490196078432</v>
      </c>
      <c r="AG77" s="59"/>
      <c r="AH77" s="147">
        <f t="shared" si="37"/>
        <v>0</v>
      </c>
      <c r="AI77" s="147"/>
      <c r="AK77" s="147">
        <f t="shared" si="26"/>
        <v>0</v>
      </c>
      <c r="AL77" s="6"/>
      <c r="AM77" s="147">
        <f>+$W$7+AF77+AK77+AH77</f>
        <v>632.56540787977099</v>
      </c>
      <c r="AN77" s="147">
        <f>+W3</f>
        <v>600.53863999999999</v>
      </c>
      <c r="AO77" s="147">
        <f t="shared" si="23"/>
        <v>-32.026767879771</v>
      </c>
      <c r="AP77" s="5">
        <f t="shared" si="38"/>
        <v>-3.3381695921272395E-2</v>
      </c>
      <c r="AQ77" s="12">
        <f t="shared" si="32"/>
        <v>-32667.303237366421</v>
      </c>
      <c r="AR77" t="s">
        <v>402</v>
      </c>
      <c r="AT77" s="237">
        <f t="shared" si="33"/>
        <v>645216.71603736642</v>
      </c>
      <c r="AU77" s="147">
        <f t="shared" si="36"/>
        <v>0</v>
      </c>
      <c r="AV77" s="147">
        <f t="shared" si="39"/>
        <v>65000</v>
      </c>
    </row>
    <row r="78" spans="1:48" x14ac:dyDescent="0.15">
      <c r="S78" t="s">
        <v>403</v>
      </c>
      <c r="T78" s="146">
        <v>29</v>
      </c>
      <c r="U78" s="146">
        <v>210</v>
      </c>
      <c r="V78" s="10">
        <f t="shared" si="22"/>
        <v>7.2413793103448274</v>
      </c>
      <c r="W78" s="10"/>
      <c r="X78" s="146"/>
      <c r="Y78" s="146"/>
      <c r="Z78" s="146"/>
      <c r="AA78" s="10"/>
      <c r="AB78" s="146">
        <f>180+30</f>
        <v>210</v>
      </c>
      <c r="AD78" s="146">
        <f t="shared" si="34"/>
        <v>210</v>
      </c>
      <c r="AE78" s="59"/>
      <c r="AF78" s="147">
        <f t="shared" si="31"/>
        <v>0</v>
      </c>
      <c r="AG78" s="59"/>
      <c r="AH78" s="147">
        <f t="shared" si="37"/>
        <v>0</v>
      </c>
      <c r="AI78" s="147"/>
      <c r="AK78" s="147">
        <f t="shared" si="26"/>
        <v>0</v>
      </c>
      <c r="AL78" s="6"/>
      <c r="AM78" s="147">
        <f t="shared" si="35"/>
        <v>731.77662541167183</v>
      </c>
      <c r="AN78" s="147">
        <f>+AB2</f>
        <v>850</v>
      </c>
      <c r="AO78" s="147">
        <f t="shared" si="23"/>
        <v>118.22337458832817</v>
      </c>
      <c r="AP78" s="5">
        <f t="shared" si="38"/>
        <v>0.12322494596112429</v>
      </c>
      <c r="AQ78" s="12">
        <f t="shared" si="32"/>
        <v>24826.908663548915</v>
      </c>
      <c r="AR78" t="s">
        <v>403</v>
      </c>
      <c r="AT78" s="237">
        <f t="shared" si="33"/>
        <v>153673.09133645109</v>
      </c>
      <c r="AU78" s="147">
        <f t="shared" si="36"/>
        <v>0</v>
      </c>
      <c r="AV78" s="147">
        <f t="shared" si="39"/>
        <v>0</v>
      </c>
    </row>
    <row r="79" spans="1:48" x14ac:dyDescent="0.15">
      <c r="C79" s="39"/>
      <c r="D79" s="2"/>
      <c r="E79" s="2"/>
      <c r="F79" s="2"/>
      <c r="G79" s="2"/>
      <c r="S79" t="s">
        <v>404</v>
      </c>
      <c r="T79" s="146">
        <v>32.799999999999997</v>
      </c>
      <c r="U79" s="146">
        <v>232</v>
      </c>
      <c r="V79" s="10">
        <f t="shared" si="22"/>
        <v>7.073170731707318</v>
      </c>
      <c r="W79" s="146"/>
      <c r="X79" s="146"/>
      <c r="Y79" s="146"/>
      <c r="Z79" s="146"/>
      <c r="AA79" s="10"/>
      <c r="AB79" s="146">
        <v>232</v>
      </c>
      <c r="AC79" s="146"/>
      <c r="AD79" s="146">
        <f t="shared" si="34"/>
        <v>232</v>
      </c>
      <c r="AE79" s="59"/>
      <c r="AF79" s="147">
        <f t="shared" si="31"/>
        <v>0</v>
      </c>
      <c r="AG79" s="59"/>
      <c r="AH79" s="147">
        <f t="shared" si="37"/>
        <v>0</v>
      </c>
      <c r="AI79" s="147"/>
      <c r="AJ79">
        <v>0.2</v>
      </c>
      <c r="AK79" s="147">
        <f t="shared" si="26"/>
        <v>17.241379310344829</v>
      </c>
      <c r="AL79" s="6"/>
      <c r="AM79" s="147">
        <f t="shared" si="35"/>
        <v>749.01800472201671</v>
      </c>
      <c r="AN79" s="147">
        <f>+AB2</f>
        <v>850</v>
      </c>
      <c r="AO79" s="147">
        <f t="shared" si="23"/>
        <v>100.98199527798329</v>
      </c>
      <c r="AP79" s="5">
        <f t="shared" si="38"/>
        <v>0.10525415091986816</v>
      </c>
      <c r="AQ79" s="12">
        <f t="shared" si="32"/>
        <v>23427.822904492125</v>
      </c>
      <c r="AR79" t="s">
        <v>404</v>
      </c>
      <c r="AS79" s="234"/>
      <c r="AT79" s="237">
        <f t="shared" si="33"/>
        <v>173772.17709550788</v>
      </c>
      <c r="AU79" s="147"/>
      <c r="AV79" s="147">
        <f t="shared" si="39"/>
        <v>0</v>
      </c>
    </row>
    <row r="80" spans="1:48" x14ac:dyDescent="0.15">
      <c r="C80" s="39"/>
      <c r="D80" s="2"/>
      <c r="E80" s="2"/>
      <c r="F80" s="2"/>
      <c r="G80" s="2"/>
      <c r="S80" t="s">
        <v>405</v>
      </c>
      <c r="T80" s="146">
        <f>27+6+6</f>
        <v>39</v>
      </c>
      <c r="U80" s="146">
        <v>266</v>
      </c>
      <c r="V80" s="10">
        <f t="shared" si="22"/>
        <v>6.8205128205128203</v>
      </c>
      <c r="W80" s="146"/>
      <c r="X80" s="146"/>
      <c r="Y80" s="146"/>
      <c r="Z80" s="146"/>
      <c r="AA80" s="10"/>
      <c r="AB80" s="146">
        <f>7+34+41+184</f>
        <v>266</v>
      </c>
      <c r="AC80" s="146"/>
      <c r="AD80" s="146">
        <f t="shared" si="34"/>
        <v>266</v>
      </c>
      <c r="AE80" s="59"/>
      <c r="AF80" s="147">
        <f t="shared" si="31"/>
        <v>0</v>
      </c>
      <c r="AG80" s="59"/>
      <c r="AH80" s="147">
        <f t="shared" si="37"/>
        <v>0</v>
      </c>
      <c r="AI80" s="147"/>
      <c r="AJ80">
        <v>0.2</v>
      </c>
      <c r="AK80" s="147">
        <f t="shared" si="26"/>
        <v>15.037593984962406</v>
      </c>
      <c r="AL80" s="6"/>
      <c r="AM80" s="147">
        <f t="shared" si="35"/>
        <v>746.81421939663426</v>
      </c>
      <c r="AN80" s="147">
        <f>+AB2</f>
        <v>850</v>
      </c>
      <c r="AO80" s="147">
        <f t="shared" si="23"/>
        <v>103.18578060336574</v>
      </c>
      <c r="AP80" s="5">
        <f t="shared" si="38"/>
        <v>0.10755116983491596</v>
      </c>
      <c r="AQ80" s="12">
        <f t="shared" si="32"/>
        <v>27447.417640495289</v>
      </c>
      <c r="AR80" t="s">
        <v>405</v>
      </c>
      <c r="AT80" s="237">
        <f t="shared" si="33"/>
        <v>198652.58235950471</v>
      </c>
      <c r="AU80" s="147"/>
      <c r="AV80" s="147">
        <f t="shared" si="39"/>
        <v>0</v>
      </c>
    </row>
    <row r="81" spans="1:48" x14ac:dyDescent="0.15">
      <c r="B81" s="10"/>
      <c r="C81" s="2"/>
      <c r="D81" s="2"/>
      <c r="E81" s="2"/>
      <c r="F81" s="2"/>
      <c r="G81" s="2"/>
      <c r="S81" t="s">
        <v>406</v>
      </c>
      <c r="T81" s="146">
        <v>6.3</v>
      </c>
      <c r="U81" s="146">
        <v>51</v>
      </c>
      <c r="V81" s="10">
        <f t="shared" si="22"/>
        <v>8.0952380952380949</v>
      </c>
      <c r="W81" s="146"/>
      <c r="X81" s="146"/>
      <c r="Y81" s="146"/>
      <c r="Z81" s="146"/>
      <c r="AA81" s="10"/>
      <c r="AB81" s="146">
        <v>51</v>
      </c>
      <c r="AD81" s="146">
        <f t="shared" si="34"/>
        <v>51</v>
      </c>
      <c r="AE81" s="59"/>
      <c r="AF81" s="147">
        <f t="shared" si="31"/>
        <v>0</v>
      </c>
      <c r="AG81" s="59"/>
      <c r="AH81" s="147">
        <f t="shared" si="37"/>
        <v>0</v>
      </c>
      <c r="AI81" s="146"/>
      <c r="AK81" s="147">
        <f t="shared" si="26"/>
        <v>0</v>
      </c>
      <c r="AL81" s="6"/>
      <c r="AM81" s="147">
        <f t="shared" si="35"/>
        <v>731.77662541167183</v>
      </c>
      <c r="AN81" s="147">
        <f>+AB2</f>
        <v>850</v>
      </c>
      <c r="AO81" s="147">
        <f t="shared" si="23"/>
        <v>118.22337458832817</v>
      </c>
      <c r="AP81" s="5">
        <f t="shared" si="38"/>
        <v>0.12322494596112429</v>
      </c>
      <c r="AQ81" s="12">
        <f t="shared" si="32"/>
        <v>6029.3921040047371</v>
      </c>
      <c r="AR81" t="s">
        <v>406</v>
      </c>
      <c r="AT81" s="237">
        <f t="shared" si="33"/>
        <v>37320.607895995265</v>
      </c>
      <c r="AU81" s="147"/>
      <c r="AV81" s="147">
        <f t="shared" si="39"/>
        <v>0</v>
      </c>
    </row>
    <row r="82" spans="1:48" x14ac:dyDescent="0.15">
      <c r="S82" t="s">
        <v>407</v>
      </c>
      <c r="T82" s="146">
        <v>19.5</v>
      </c>
      <c r="U82" s="146">
        <v>93</v>
      </c>
      <c r="V82" s="10">
        <f t="shared" si="22"/>
        <v>4.7692307692307692</v>
      </c>
      <c r="W82" s="10"/>
      <c r="X82" s="146"/>
      <c r="Y82" s="146"/>
      <c r="AA82" s="10"/>
      <c r="AB82" s="146">
        <v>93</v>
      </c>
      <c r="AC82" s="146"/>
      <c r="AD82" s="146">
        <f t="shared" si="34"/>
        <v>93</v>
      </c>
      <c r="AE82" s="144"/>
      <c r="AF82" s="147">
        <f t="shared" si="31"/>
        <v>0</v>
      </c>
      <c r="AG82" s="59"/>
      <c r="AH82" s="147">
        <f t="shared" si="37"/>
        <v>0</v>
      </c>
      <c r="AI82" s="146"/>
      <c r="AK82" s="147">
        <f t="shared" si="26"/>
        <v>0</v>
      </c>
      <c r="AL82" s="6"/>
      <c r="AM82" s="147">
        <f t="shared" si="35"/>
        <v>731.77662541167183</v>
      </c>
      <c r="AN82" s="147">
        <f>+AB2</f>
        <v>850</v>
      </c>
      <c r="AO82" s="147">
        <f t="shared" si="23"/>
        <v>118.22337458832817</v>
      </c>
      <c r="AP82" s="231">
        <f>+(AO82)/$C$22</f>
        <v>0.15595544770563946</v>
      </c>
      <c r="AQ82" s="12">
        <f t="shared" si="32"/>
        <v>10994.773836714519</v>
      </c>
      <c r="AR82" t="s">
        <v>407</v>
      </c>
      <c r="AT82" s="237">
        <f t="shared" si="33"/>
        <v>68055.226163285479</v>
      </c>
      <c r="AU82" s="147">
        <f t="shared" si="36"/>
        <v>0</v>
      </c>
      <c r="AV82" s="147">
        <f t="shared" si="39"/>
        <v>0</v>
      </c>
    </row>
    <row r="83" spans="1:48" x14ac:dyDescent="0.15">
      <c r="A83" s="14"/>
      <c r="B83" s="6"/>
      <c r="D83" s="6"/>
      <c r="E83" s="6"/>
      <c r="F83" s="5"/>
      <c r="G83" s="6"/>
      <c r="S83" t="s">
        <v>408</v>
      </c>
      <c r="T83" s="146">
        <f>39+22</f>
        <v>61</v>
      </c>
      <c r="U83" s="146">
        <v>309</v>
      </c>
      <c r="V83" s="10">
        <f t="shared" si="22"/>
        <v>5.0655737704918034</v>
      </c>
      <c r="W83" s="10"/>
      <c r="X83" s="146"/>
      <c r="Y83" s="146"/>
      <c r="AA83" s="10"/>
      <c r="AB83" s="146">
        <f>198+91+20</f>
        <v>309</v>
      </c>
      <c r="AC83" s="146"/>
      <c r="AD83" s="146">
        <f t="shared" si="34"/>
        <v>309</v>
      </c>
      <c r="AE83" s="144"/>
      <c r="AF83" s="147">
        <f t="shared" si="31"/>
        <v>0</v>
      </c>
      <c r="AG83" s="59"/>
      <c r="AH83" s="147">
        <f t="shared" si="37"/>
        <v>0</v>
      </c>
      <c r="AI83" s="146"/>
      <c r="AK83" s="147">
        <f t="shared" si="26"/>
        <v>0</v>
      </c>
      <c r="AL83" s="6"/>
      <c r="AM83" s="147">
        <f t="shared" si="35"/>
        <v>731.77662541167183</v>
      </c>
      <c r="AN83" s="147">
        <f>+AB2</f>
        <v>850</v>
      </c>
      <c r="AO83" s="147">
        <f t="shared" si="23"/>
        <v>118.22337458832817</v>
      </c>
      <c r="AP83" s="231">
        <f>+(AO83)/$C$22</f>
        <v>0.15595544770563946</v>
      </c>
      <c r="AQ83" s="12">
        <f t="shared" si="32"/>
        <v>36531.022747793402</v>
      </c>
      <c r="AR83" t="s">
        <v>408</v>
      </c>
      <c r="AT83" s="237">
        <f t="shared" si="33"/>
        <v>226118.97725220659</v>
      </c>
      <c r="AU83" s="147">
        <f t="shared" si="36"/>
        <v>0</v>
      </c>
      <c r="AV83" s="147">
        <f t="shared" si="39"/>
        <v>0</v>
      </c>
    </row>
    <row r="84" spans="1:48" x14ac:dyDescent="0.15">
      <c r="A84" s="14"/>
      <c r="B84" s="6"/>
      <c r="D84" s="6"/>
      <c r="E84" s="6"/>
      <c r="F84" s="5"/>
      <c r="G84" s="6"/>
      <c r="S84" t="s">
        <v>409</v>
      </c>
      <c r="T84" s="146">
        <v>4.8</v>
      </c>
      <c r="U84" s="146">
        <v>36</v>
      </c>
      <c r="V84" s="10">
        <f t="shared" si="22"/>
        <v>7.5</v>
      </c>
      <c r="W84" s="10"/>
      <c r="X84" s="146"/>
      <c r="Y84" s="146"/>
      <c r="Z84" s="146"/>
      <c r="AA84" s="10"/>
      <c r="AB84" s="146">
        <v>36</v>
      </c>
      <c r="AD84" s="146">
        <f>SUM(W84:AB84)</f>
        <v>36</v>
      </c>
      <c r="AE84" s="144"/>
      <c r="AF84" s="147">
        <f t="shared" si="31"/>
        <v>0</v>
      </c>
      <c r="AH84" s="147">
        <f t="shared" si="37"/>
        <v>0</v>
      </c>
      <c r="AI84" s="146"/>
      <c r="AK84" s="147">
        <f t="shared" si="26"/>
        <v>0</v>
      </c>
      <c r="AL84" s="6"/>
      <c r="AM84" s="147">
        <f t="shared" si="35"/>
        <v>731.77662541167183</v>
      </c>
      <c r="AN84" s="147">
        <f>+AB2</f>
        <v>850</v>
      </c>
      <c r="AO84" s="147">
        <f t="shared" si="23"/>
        <v>118.22337458832817</v>
      </c>
      <c r="AP84" s="5">
        <f t="shared" ref="AP84:AP98" si="40">+(AO84)/AB$3</f>
        <v>0.12322494596112429</v>
      </c>
      <c r="AQ84" s="12">
        <f t="shared" si="32"/>
        <v>4256.0414851798141</v>
      </c>
      <c r="AR84" t="s">
        <v>409</v>
      </c>
      <c r="AT84" s="237">
        <f t="shared" si="33"/>
        <v>26343.958514820188</v>
      </c>
      <c r="AU84" s="147">
        <f t="shared" si="36"/>
        <v>0</v>
      </c>
      <c r="AV84" s="147">
        <f t="shared" si="39"/>
        <v>0</v>
      </c>
    </row>
    <row r="85" spans="1:48" x14ac:dyDescent="0.15">
      <c r="A85" s="14"/>
      <c r="B85" s="6"/>
      <c r="D85" s="6"/>
      <c r="E85" s="6"/>
      <c r="F85" s="5"/>
      <c r="G85" s="6"/>
      <c r="S85" t="s">
        <v>410</v>
      </c>
      <c r="T85" s="146">
        <v>14.679147</v>
      </c>
      <c r="U85" s="146">
        <v>236</v>
      </c>
      <c r="V85" s="10">
        <f t="shared" si="22"/>
        <v>16.077228465659481</v>
      </c>
      <c r="W85" s="146">
        <v>236</v>
      </c>
      <c r="X85" s="146"/>
      <c r="Y85" s="146"/>
      <c r="Z85" s="146"/>
      <c r="AA85" s="10"/>
      <c r="AB85" s="146"/>
      <c r="AC85" s="146"/>
      <c r="AD85" s="146">
        <f t="shared" si="34"/>
        <v>236</v>
      </c>
      <c r="AE85" s="144">
        <v>0.5</v>
      </c>
      <c r="AF85" s="147">
        <f t="shared" si="31"/>
        <v>275.42372881355931</v>
      </c>
      <c r="AG85" s="59"/>
      <c r="AH85" s="147">
        <f t="shared" si="37"/>
        <v>0</v>
      </c>
      <c r="AI85" s="146"/>
      <c r="AK85" s="147">
        <f t="shared" si="26"/>
        <v>0</v>
      </c>
      <c r="AL85" s="6"/>
      <c r="AM85" s="147">
        <f>+$W$7+AF85+AK85+AH85</f>
        <v>844.26364649725178</v>
      </c>
      <c r="AN85" s="147">
        <f>+W3</f>
        <v>600.53863999999999</v>
      </c>
      <c r="AO85" s="147">
        <f t="shared" si="23"/>
        <v>-243.7250064972518</v>
      </c>
      <c r="AP85" s="5">
        <f t="shared" si="40"/>
        <v>-0.25403606401507323</v>
      </c>
      <c r="AQ85" s="12">
        <f t="shared" si="32"/>
        <v>-57519.101533351422</v>
      </c>
      <c r="AR85" t="s">
        <v>410</v>
      </c>
      <c r="AT85" s="237">
        <f t="shared" si="33"/>
        <v>199246.22057335143</v>
      </c>
      <c r="AU85" s="147">
        <f t="shared" si="36"/>
        <v>0</v>
      </c>
      <c r="AV85" s="147">
        <f t="shared" si="39"/>
        <v>65000</v>
      </c>
    </row>
    <row r="86" spans="1:48" x14ac:dyDescent="0.15">
      <c r="A86" s="14"/>
      <c r="B86" s="6"/>
      <c r="D86" s="6"/>
      <c r="E86" s="6"/>
      <c r="F86" s="5"/>
      <c r="G86" s="6"/>
      <c r="S86" t="s">
        <v>411</v>
      </c>
      <c r="T86" s="146">
        <v>15.9</v>
      </c>
      <c r="U86" s="146">
        <v>202</v>
      </c>
      <c r="V86" s="10">
        <f t="shared" si="22"/>
        <v>12.70440251572327</v>
      </c>
      <c r="W86" s="146">
        <f>76+50</f>
        <v>126</v>
      </c>
      <c r="X86" s="146"/>
      <c r="Y86" s="146"/>
      <c r="Z86" s="146">
        <v>76</v>
      </c>
      <c r="AA86" s="10"/>
      <c r="AB86" s="146"/>
      <c r="AC86" s="146"/>
      <c r="AD86" s="146">
        <f t="shared" si="34"/>
        <v>202</v>
      </c>
      <c r="AE86" s="59">
        <v>0.25</v>
      </c>
      <c r="AF86" s="147">
        <f t="shared" si="31"/>
        <v>160.8910891089109</v>
      </c>
      <c r="AG86" s="59"/>
      <c r="AH86" s="147">
        <f t="shared" si="37"/>
        <v>0</v>
      </c>
      <c r="AI86" s="146"/>
      <c r="AK86" s="147">
        <f t="shared" si="26"/>
        <v>0</v>
      </c>
      <c r="AL86" s="6"/>
      <c r="AM86" s="147">
        <f>(+$W$7*0.62+Z7*0.38)+AF86+AK86+AH86</f>
        <v>676.05883578982355</v>
      </c>
      <c r="AN86" s="147">
        <f>+W3</f>
        <v>600.53863999999999</v>
      </c>
      <c r="AO86" s="147">
        <f t="shared" si="23"/>
        <v>-75.520195789823561</v>
      </c>
      <c r="AP86" s="5">
        <f t="shared" si="40"/>
        <v>-7.8715161680838058E-2</v>
      </c>
      <c r="AQ86" s="12">
        <f t="shared" si="32"/>
        <v>-15255.07954954436</v>
      </c>
      <c r="AR86" t="s">
        <v>411</v>
      </c>
      <c r="AT86" s="237">
        <f t="shared" si="33"/>
        <v>136563.88482954435</v>
      </c>
      <c r="AU86" s="147">
        <f t="shared" si="36"/>
        <v>0</v>
      </c>
      <c r="AV86" s="147">
        <f t="shared" si="39"/>
        <v>32500.000000000004</v>
      </c>
    </row>
    <row r="87" spans="1:48" x14ac:dyDescent="0.15">
      <c r="A87" s="20"/>
      <c r="B87" s="6"/>
      <c r="D87" s="6"/>
      <c r="E87" s="6"/>
      <c r="F87" s="5"/>
      <c r="G87" s="6"/>
      <c r="S87" t="s">
        <v>412</v>
      </c>
      <c r="T87" s="146">
        <v>38.9</v>
      </c>
      <c r="U87" s="146">
        <v>572</v>
      </c>
      <c r="V87" s="10">
        <f t="shared" si="22"/>
        <v>14.704370179948587</v>
      </c>
      <c r="W87" s="146">
        <v>352</v>
      </c>
      <c r="X87" s="146"/>
      <c r="Y87" s="146"/>
      <c r="Z87" s="146">
        <v>220</v>
      </c>
      <c r="AA87" s="10"/>
      <c r="AB87" s="146"/>
      <c r="AC87" s="146"/>
      <c r="AD87" s="146">
        <f t="shared" si="34"/>
        <v>572</v>
      </c>
      <c r="AE87" s="59">
        <v>0.25</v>
      </c>
      <c r="AF87" s="147">
        <f t="shared" si="31"/>
        <v>56.81818181818182</v>
      </c>
      <c r="AG87" s="59"/>
      <c r="AH87" s="147">
        <f t="shared" si="37"/>
        <v>0</v>
      </c>
      <c r="AI87" s="146"/>
      <c r="AK87" s="147">
        <f t="shared" si="26"/>
        <v>0</v>
      </c>
      <c r="AL87" s="6"/>
      <c r="AM87" s="147">
        <f>(+$W$7*0.61+Z7*0.39)+AF87+AK87+AH87</f>
        <v>570.57350294638968</v>
      </c>
      <c r="AN87" s="147">
        <f>+W3</f>
        <v>600.53863999999999</v>
      </c>
      <c r="AO87" s="147">
        <f t="shared" si="23"/>
        <v>29.965137053610306</v>
      </c>
      <c r="AP87" s="5">
        <f t="shared" si="40"/>
        <v>3.1232845509667574E-2</v>
      </c>
      <c r="AQ87" s="12">
        <f t="shared" si="32"/>
        <v>17140.058394665095</v>
      </c>
      <c r="AR87" t="s">
        <v>412</v>
      </c>
      <c r="AT87" s="237">
        <f t="shared" si="33"/>
        <v>326368.04368533491</v>
      </c>
      <c r="AU87" s="147"/>
      <c r="AV87" s="147">
        <f t="shared" si="39"/>
        <v>32500</v>
      </c>
    </row>
    <row r="88" spans="1:48" x14ac:dyDescent="0.15">
      <c r="A88" s="20"/>
      <c r="B88" s="6"/>
      <c r="D88" s="6"/>
      <c r="E88" s="6"/>
      <c r="F88" s="5"/>
      <c r="G88" s="6"/>
      <c r="S88" t="s">
        <v>413</v>
      </c>
      <c r="T88" s="146">
        <v>41.102806999999999</v>
      </c>
      <c r="U88" s="146">
        <v>1065</v>
      </c>
      <c r="V88" s="10">
        <f t="shared" si="22"/>
        <v>25.910639144426316</v>
      </c>
      <c r="W88" s="146">
        <v>1065</v>
      </c>
      <c r="X88" s="146"/>
      <c r="Y88" s="146"/>
      <c r="Z88" s="146"/>
      <c r="AB88" s="146"/>
      <c r="AC88" s="146"/>
      <c r="AD88" s="146">
        <f t="shared" si="34"/>
        <v>1065</v>
      </c>
      <c r="AE88" s="59">
        <v>0.1</v>
      </c>
      <c r="AF88" s="147">
        <f t="shared" si="31"/>
        <v>12.206572769953052</v>
      </c>
      <c r="AG88" s="59">
        <v>1.1000000000000001</v>
      </c>
      <c r="AH88" s="147">
        <f t="shared" si="37"/>
        <v>134.27230046948358</v>
      </c>
      <c r="AI88" s="146">
        <v>50024</v>
      </c>
      <c r="AK88" s="147">
        <f t="shared" si="26"/>
        <v>0</v>
      </c>
      <c r="AL88" s="6"/>
      <c r="AM88" s="147">
        <f>+$W$7+AF88+AK88+AH88</f>
        <v>715.3187909231292</v>
      </c>
      <c r="AN88" s="147">
        <f>+W3</f>
        <v>600.53863999999999</v>
      </c>
      <c r="AO88" s="147">
        <f t="shared" si="23"/>
        <v>-114.78015092312921</v>
      </c>
      <c r="AP88" s="5">
        <f t="shared" si="40"/>
        <v>-0.1196360528885517</v>
      </c>
      <c r="AQ88" s="12">
        <f t="shared" si="32"/>
        <v>-122240.86073313261</v>
      </c>
      <c r="AR88" t="s">
        <v>413</v>
      </c>
      <c r="AT88" s="237">
        <f t="shared" si="33"/>
        <v>761814.51233313256</v>
      </c>
      <c r="AU88" s="147">
        <f t="shared" si="36"/>
        <v>143000.00000000003</v>
      </c>
      <c r="AV88" s="147">
        <f t="shared" si="39"/>
        <v>13000</v>
      </c>
    </row>
    <row r="89" spans="1:48" x14ac:dyDescent="0.15">
      <c r="A89" s="20"/>
      <c r="B89" s="6"/>
      <c r="D89" s="6"/>
      <c r="E89" s="6"/>
      <c r="F89" s="5"/>
      <c r="G89" s="6"/>
      <c r="S89" t="s">
        <v>414</v>
      </c>
      <c r="T89" s="146">
        <v>4.5904800000000003</v>
      </c>
      <c r="U89" s="146">
        <v>47</v>
      </c>
      <c r="V89" s="10">
        <f t="shared" si="22"/>
        <v>10.238580714870775</v>
      </c>
      <c r="W89" s="10"/>
      <c r="X89" s="146"/>
      <c r="Y89" s="146"/>
      <c r="Z89" s="146">
        <v>47</v>
      </c>
      <c r="AB89" s="146"/>
      <c r="AC89" s="146"/>
      <c r="AD89" s="146">
        <f t="shared" si="34"/>
        <v>47</v>
      </c>
      <c r="AE89" s="59">
        <v>0.05</v>
      </c>
      <c r="AF89" s="147">
        <f t="shared" si="31"/>
        <v>138.29787234042553</v>
      </c>
      <c r="AG89" s="59"/>
      <c r="AH89" s="147">
        <f t="shared" si="37"/>
        <v>0</v>
      </c>
      <c r="AI89" s="146"/>
      <c r="AK89" s="147">
        <f t="shared" si="26"/>
        <v>0</v>
      </c>
      <c r="AL89" s="6"/>
      <c r="AM89" s="147">
        <f>+$Z$7+AF89+AK89+AH89</f>
        <v>565.89523475364456</v>
      </c>
      <c r="AN89" s="147">
        <f>+Z3</f>
        <v>600.53863999999999</v>
      </c>
      <c r="AO89" s="147">
        <f t="shared" si="23"/>
        <v>34.643405246355428</v>
      </c>
      <c r="AP89" s="5">
        <f t="shared" si="40"/>
        <v>3.6109033042378877E-2</v>
      </c>
      <c r="AQ89" s="12">
        <f t="shared" si="32"/>
        <v>1628.240046578705</v>
      </c>
      <c r="AR89" t="s">
        <v>414</v>
      </c>
      <c r="AT89" s="237">
        <f t="shared" si="33"/>
        <v>26597.076033421294</v>
      </c>
      <c r="AU89" s="147">
        <f t="shared" si="36"/>
        <v>0</v>
      </c>
      <c r="AV89" s="147">
        <f t="shared" si="39"/>
        <v>6500</v>
      </c>
    </row>
    <row r="90" spans="1:48" x14ac:dyDescent="0.15">
      <c r="S90" t="s">
        <v>415</v>
      </c>
      <c r="T90" s="146">
        <f>26+20+9</f>
        <v>55</v>
      </c>
      <c r="U90" s="146">
        <v>851</v>
      </c>
      <c r="V90" s="10">
        <f t="shared" si="22"/>
        <v>15.472727272727273</v>
      </c>
      <c r="W90" s="10">
        <v>156</v>
      </c>
      <c r="X90" s="146"/>
      <c r="Y90" s="146">
        <v>452</v>
      </c>
      <c r="Z90" s="146">
        <v>191</v>
      </c>
      <c r="AB90" s="146">
        <v>52</v>
      </c>
      <c r="AD90" s="146">
        <f>SUM(W90:AB90)</f>
        <v>851</v>
      </c>
      <c r="AE90" s="59"/>
      <c r="AF90" s="147">
        <f t="shared" si="31"/>
        <v>0</v>
      </c>
      <c r="AG90" s="59">
        <v>0.6</v>
      </c>
      <c r="AH90" s="147">
        <f t="shared" si="37"/>
        <v>91.656874265569911</v>
      </c>
      <c r="AI90" s="146">
        <v>50076</v>
      </c>
      <c r="AJ90" s="59"/>
      <c r="AK90" s="147">
        <f t="shared" si="26"/>
        <v>0</v>
      </c>
      <c r="AL90" s="6"/>
      <c r="AM90" s="147">
        <f>(+$AB$7*0.06+W7*0.18+Y7*0.52+Z7*0.24)+AF90+AK90+AH90</f>
        <v>648.84502483341657</v>
      </c>
      <c r="AN90" s="147">
        <f>+AB2*0.06+Y3*0.94</f>
        <v>615.50632159999998</v>
      </c>
      <c r="AO90" s="147">
        <f t="shared" si="23"/>
        <v>-33.338703233416595</v>
      </c>
      <c r="AP90" s="5">
        <f t="shared" si="40"/>
        <v>-3.4749134159441475E-2</v>
      </c>
      <c r="AQ90" s="12">
        <f t="shared" si="32"/>
        <v>-28371.236451637524</v>
      </c>
      <c r="AR90" t="s">
        <v>415</v>
      </c>
      <c r="AT90" s="237">
        <f t="shared" si="33"/>
        <v>552167.11613323749</v>
      </c>
      <c r="AU90" s="147">
        <f t="shared" si="36"/>
        <v>78000</v>
      </c>
      <c r="AV90" s="147">
        <f t="shared" si="39"/>
        <v>0</v>
      </c>
    </row>
    <row r="91" spans="1:48" x14ac:dyDescent="0.15">
      <c r="S91" t="s">
        <v>416</v>
      </c>
      <c r="T91" s="146">
        <v>4.9392100000000001</v>
      </c>
      <c r="U91" s="146">
        <v>54</v>
      </c>
      <c r="V91" s="146">
        <f t="shared" si="22"/>
        <v>10.932922471407371</v>
      </c>
      <c r="W91" s="146"/>
      <c r="X91" s="146"/>
      <c r="Y91" s="146"/>
      <c r="Z91" s="146">
        <f>+U91*$U$3</f>
        <v>54</v>
      </c>
      <c r="AB91" s="146"/>
      <c r="AD91" s="146">
        <f>SUM(W91:AB91)</f>
        <v>54</v>
      </c>
      <c r="AE91" s="59">
        <v>0.2</v>
      </c>
      <c r="AF91" s="147">
        <f t="shared" si="31"/>
        <v>481.48148148148147</v>
      </c>
      <c r="AG91" s="59"/>
      <c r="AH91" s="147">
        <f t="shared" si="37"/>
        <v>0</v>
      </c>
      <c r="AI91" s="146"/>
      <c r="AK91" s="147">
        <f t="shared" si="26"/>
        <v>0</v>
      </c>
      <c r="AL91" s="147"/>
      <c r="AM91" s="147">
        <f>+$Z$7+AF91+AK91+AH91</f>
        <v>909.07884389470041</v>
      </c>
      <c r="AN91" s="147">
        <f>+Z3</f>
        <v>600.53863999999999</v>
      </c>
      <c r="AO91" s="147">
        <f t="shared" si="23"/>
        <v>-308.54020389470043</v>
      </c>
      <c r="AP91" s="5">
        <f t="shared" si="40"/>
        <v>-0.32159334043838328</v>
      </c>
      <c r="AQ91" s="12">
        <f t="shared" si="32"/>
        <v>-16661.171010313825</v>
      </c>
      <c r="AR91" t="s">
        <v>416</v>
      </c>
      <c r="AT91" s="237">
        <f t="shared" si="33"/>
        <v>49090.257570313821</v>
      </c>
      <c r="AU91" s="147"/>
      <c r="AV91" s="147">
        <f t="shared" si="39"/>
        <v>26000</v>
      </c>
    </row>
    <row r="92" spans="1:48" x14ac:dyDescent="0.15">
      <c r="S92" t="s">
        <v>417</v>
      </c>
      <c r="T92" s="146">
        <v>42.1</v>
      </c>
      <c r="U92" s="146">
        <v>658</v>
      </c>
      <c r="V92" s="146">
        <f t="shared" si="22"/>
        <v>15.629453681710213</v>
      </c>
      <c r="W92" s="146">
        <v>329</v>
      </c>
      <c r="Y92" s="146">
        <v>329</v>
      </c>
      <c r="AB92" s="146"/>
      <c r="AD92" s="146">
        <f>SUM(W92:AB92)</f>
        <v>658</v>
      </c>
      <c r="AE92" s="59"/>
      <c r="AF92" s="147">
        <f t="shared" si="31"/>
        <v>0</v>
      </c>
      <c r="AG92" s="59">
        <v>0.6</v>
      </c>
      <c r="AH92" s="147">
        <f t="shared" si="37"/>
        <v>118.54103343465046</v>
      </c>
      <c r="AI92" s="146">
        <v>50076</v>
      </c>
      <c r="AK92" s="147">
        <f t="shared" si="26"/>
        <v>0</v>
      </c>
      <c r="AM92" s="147">
        <f>(+$W$7*0.5+Y7*0.5)+AF92+AK92+AH92</f>
        <v>699.37157004660162</v>
      </c>
      <c r="AN92" s="147">
        <f>+W3</f>
        <v>600.53863999999999</v>
      </c>
      <c r="AO92" s="147">
        <f t="shared" si="23"/>
        <v>-98.832930046601632</v>
      </c>
      <c r="AP92" s="5">
        <f t="shared" si="40"/>
        <v>-0.10301416709326809</v>
      </c>
      <c r="AQ92" s="12">
        <f t="shared" si="32"/>
        <v>-65032.067970663877</v>
      </c>
      <c r="AR92" t="s">
        <v>417</v>
      </c>
      <c r="AT92" s="237">
        <f t="shared" si="33"/>
        <v>460186.49309066386</v>
      </c>
      <c r="AU92" s="147">
        <f t="shared" si="36"/>
        <v>78000</v>
      </c>
      <c r="AV92" s="147">
        <f t="shared" si="39"/>
        <v>0</v>
      </c>
    </row>
    <row r="93" spans="1:48" x14ac:dyDescent="0.15">
      <c r="S93" t="s">
        <v>418</v>
      </c>
      <c r="T93" s="146">
        <v>21.663841000000001</v>
      </c>
      <c r="U93" s="146">
        <v>48</v>
      </c>
      <c r="V93" s="146">
        <f t="shared" si="22"/>
        <v>2.2156735733058599</v>
      </c>
      <c r="AB93" s="146">
        <v>48</v>
      </c>
      <c r="AD93" s="146">
        <f t="shared" si="34"/>
        <v>48</v>
      </c>
      <c r="AE93" s="59"/>
      <c r="AF93" s="147">
        <f t="shared" si="31"/>
        <v>0</v>
      </c>
      <c r="AG93" s="59"/>
      <c r="AH93" s="147">
        <f t="shared" si="37"/>
        <v>0</v>
      </c>
      <c r="AI93" s="146"/>
      <c r="AK93" s="147">
        <f t="shared" si="26"/>
        <v>0</v>
      </c>
      <c r="AM93" s="147">
        <f t="shared" si="35"/>
        <v>731.77662541167183</v>
      </c>
      <c r="AN93" s="147">
        <f>+$AB$2</f>
        <v>850</v>
      </c>
      <c r="AO93" s="147">
        <f t="shared" ref="AO93:AO156" si="41">+AN93-AM93</f>
        <v>118.22337458832817</v>
      </c>
      <c r="AP93" s="5">
        <f t="shared" si="40"/>
        <v>0.12322494596112429</v>
      </c>
      <c r="AQ93" s="12">
        <f t="shared" si="32"/>
        <v>5674.7219802397522</v>
      </c>
      <c r="AR93" t="s">
        <v>418</v>
      </c>
      <c r="AT93" s="237">
        <f t="shared" si="33"/>
        <v>35125.278019760248</v>
      </c>
      <c r="AU93" s="147"/>
      <c r="AV93" s="147">
        <f t="shared" si="39"/>
        <v>0</v>
      </c>
    </row>
    <row r="94" spans="1:48" x14ac:dyDescent="0.15">
      <c r="S94" t="s">
        <v>419</v>
      </c>
      <c r="T94" s="146">
        <v>4.6982850000000003</v>
      </c>
      <c r="U94" s="146">
        <v>14</v>
      </c>
      <c r="V94" s="10">
        <f t="shared" si="22"/>
        <v>2.9798107181663096</v>
      </c>
      <c r="W94" s="146"/>
      <c r="X94" s="146"/>
      <c r="Y94" s="146"/>
      <c r="Z94" s="146"/>
      <c r="AA94" s="10"/>
      <c r="AB94" s="146">
        <v>14</v>
      </c>
      <c r="AC94" s="146"/>
      <c r="AD94" s="146">
        <f t="shared" si="34"/>
        <v>14</v>
      </c>
      <c r="AE94" s="59"/>
      <c r="AF94" s="147">
        <f t="shared" si="31"/>
        <v>0</v>
      </c>
      <c r="AG94" s="59"/>
      <c r="AH94" s="147">
        <f t="shared" si="37"/>
        <v>0</v>
      </c>
      <c r="AI94" s="146"/>
      <c r="AK94" s="147">
        <f t="shared" si="26"/>
        <v>0</v>
      </c>
      <c r="AL94" s="6"/>
      <c r="AM94" s="147">
        <f t="shared" si="35"/>
        <v>731.77662541167183</v>
      </c>
      <c r="AN94" s="147">
        <f t="shared" ref="AN94:AN97" si="42">+$AB$2</f>
        <v>850</v>
      </c>
      <c r="AO94" s="147">
        <f t="shared" si="41"/>
        <v>118.22337458832817</v>
      </c>
      <c r="AP94" s="5">
        <f t="shared" si="40"/>
        <v>0.12322494596112429</v>
      </c>
      <c r="AQ94" s="12">
        <f t="shared" si="32"/>
        <v>1655.1272442365944</v>
      </c>
      <c r="AR94" t="s">
        <v>419</v>
      </c>
      <c r="AT94" s="237">
        <f t="shared" si="33"/>
        <v>10244.872755763405</v>
      </c>
      <c r="AU94" s="147">
        <f t="shared" si="36"/>
        <v>0</v>
      </c>
      <c r="AV94" s="147">
        <f t="shared" si="39"/>
        <v>0</v>
      </c>
    </row>
    <row r="95" spans="1:48" x14ac:dyDescent="0.15">
      <c r="S95" t="s">
        <v>420</v>
      </c>
      <c r="T95" s="146">
        <v>41.4</v>
      </c>
      <c r="U95" s="146">
        <v>117</v>
      </c>
      <c r="V95" s="10">
        <f t="shared" si="22"/>
        <v>2.8260869565217392</v>
      </c>
      <c r="W95" s="146"/>
      <c r="AB95" s="146">
        <f>34+43+40</f>
        <v>117</v>
      </c>
      <c r="AC95" s="146"/>
      <c r="AD95" s="146">
        <f t="shared" si="34"/>
        <v>117</v>
      </c>
      <c r="AE95" s="59"/>
      <c r="AF95" s="147">
        <f t="shared" si="31"/>
        <v>0</v>
      </c>
      <c r="AG95" s="59"/>
      <c r="AH95" s="147">
        <f t="shared" si="37"/>
        <v>0</v>
      </c>
      <c r="AI95" s="147"/>
      <c r="AK95" s="147">
        <f t="shared" si="26"/>
        <v>0</v>
      </c>
      <c r="AL95" s="6"/>
      <c r="AM95" s="147">
        <f t="shared" si="35"/>
        <v>731.77662541167183</v>
      </c>
      <c r="AN95" s="147">
        <f t="shared" si="42"/>
        <v>850</v>
      </c>
      <c r="AO95" s="147">
        <f t="shared" si="41"/>
        <v>118.22337458832817</v>
      </c>
      <c r="AP95" s="5">
        <f t="shared" si="40"/>
        <v>0.12322494596112429</v>
      </c>
      <c r="AQ95" s="12">
        <f t="shared" si="32"/>
        <v>13832.134826834395</v>
      </c>
      <c r="AR95" t="s">
        <v>420</v>
      </c>
      <c r="AT95" s="237">
        <f t="shared" si="33"/>
        <v>85617.865173165599</v>
      </c>
      <c r="AU95" s="147">
        <f t="shared" si="36"/>
        <v>0</v>
      </c>
      <c r="AV95" s="147">
        <f t="shared" si="39"/>
        <v>0</v>
      </c>
    </row>
    <row r="96" spans="1:48" x14ac:dyDescent="0.15">
      <c r="B96" s="9"/>
      <c r="F96" s="9"/>
      <c r="S96" t="s">
        <v>421</v>
      </c>
      <c r="T96" s="146">
        <v>41</v>
      </c>
      <c r="U96" s="146">
        <v>220</v>
      </c>
      <c r="V96" s="10">
        <f t="shared" si="22"/>
        <v>5.3658536585365857</v>
      </c>
      <c r="W96" s="146"/>
      <c r="Z96">
        <v>145</v>
      </c>
      <c r="AB96" s="146">
        <f>48+27</f>
        <v>75</v>
      </c>
      <c r="AC96" s="146"/>
      <c r="AD96" s="146">
        <f t="shared" si="34"/>
        <v>220</v>
      </c>
      <c r="AE96" s="59">
        <v>0.2</v>
      </c>
      <c r="AF96" s="147">
        <f t="shared" si="31"/>
        <v>118.18181818181819</v>
      </c>
      <c r="AG96" s="59"/>
      <c r="AH96" s="147">
        <f t="shared" si="37"/>
        <v>0</v>
      </c>
      <c r="AI96" s="146"/>
      <c r="AK96" s="147">
        <f t="shared" ref="AK96:AK163" si="43">+AJ96*$AK$7/AD96</f>
        <v>0</v>
      </c>
      <c r="AL96" s="6"/>
      <c r="AM96" s="147">
        <f t="shared" si="35"/>
        <v>849.95844359349007</v>
      </c>
      <c r="AN96" s="147">
        <f t="shared" si="42"/>
        <v>850</v>
      </c>
      <c r="AO96" s="147">
        <f t="shared" si="41"/>
        <v>4.1556406509926092E-2</v>
      </c>
      <c r="AP96" s="5">
        <f t="shared" si="40"/>
        <v>4.3314496514378093E-5</v>
      </c>
      <c r="AQ96" s="12">
        <f t="shared" si="32"/>
        <v>9.1424094321837401</v>
      </c>
      <c r="AR96" t="s">
        <v>421</v>
      </c>
      <c r="AT96" s="237">
        <f t="shared" si="33"/>
        <v>186990.85759056782</v>
      </c>
      <c r="AU96" s="147"/>
      <c r="AV96" s="147">
        <f t="shared" si="39"/>
        <v>26000</v>
      </c>
    </row>
    <row r="97" spans="3:48" x14ac:dyDescent="0.15">
      <c r="S97" t="s">
        <v>422</v>
      </c>
      <c r="T97" s="146">
        <v>11.640668</v>
      </c>
      <c r="U97" s="146">
        <v>79</v>
      </c>
      <c r="V97" s="10">
        <f t="shared" si="22"/>
        <v>6.7865521119578363</v>
      </c>
      <c r="W97" s="146"/>
      <c r="AB97" s="146">
        <v>79</v>
      </c>
      <c r="AC97" s="146"/>
      <c r="AD97" s="146">
        <f t="shared" si="34"/>
        <v>79</v>
      </c>
      <c r="AE97" s="59"/>
      <c r="AF97" s="147">
        <f t="shared" si="31"/>
        <v>0</v>
      </c>
      <c r="AG97" s="59"/>
      <c r="AH97" s="147">
        <f t="shared" si="37"/>
        <v>0</v>
      </c>
      <c r="AI97" s="146"/>
      <c r="AK97" s="147">
        <f t="shared" si="43"/>
        <v>0</v>
      </c>
      <c r="AL97" s="6"/>
      <c r="AM97" s="147">
        <f t="shared" si="35"/>
        <v>731.77662541167183</v>
      </c>
      <c r="AN97" s="147">
        <f t="shared" si="42"/>
        <v>850</v>
      </c>
      <c r="AO97" s="147">
        <f t="shared" si="41"/>
        <v>118.22337458832817</v>
      </c>
      <c r="AP97" s="5">
        <f t="shared" si="40"/>
        <v>0.12322494596112429</v>
      </c>
      <c r="AQ97" s="12">
        <f t="shared" si="32"/>
        <v>9339.6465924779259</v>
      </c>
      <c r="AR97" t="s">
        <v>422</v>
      </c>
      <c r="AT97" s="237">
        <f t="shared" si="33"/>
        <v>57810.353407522074</v>
      </c>
      <c r="AU97" s="147"/>
      <c r="AV97" s="147">
        <f t="shared" si="39"/>
        <v>0</v>
      </c>
    </row>
    <row r="98" spans="3:48" x14ac:dyDescent="0.15">
      <c r="C98" s="2"/>
      <c r="D98" s="2"/>
      <c r="F98" s="9"/>
      <c r="K98" s="2"/>
      <c r="L98" s="2"/>
      <c r="M98" s="2"/>
      <c r="S98" t="s">
        <v>423</v>
      </c>
      <c r="T98" s="146">
        <v>10.025672999999999</v>
      </c>
      <c r="U98" s="146">
        <v>74</v>
      </c>
      <c r="V98" s="10">
        <f t="shared" si="22"/>
        <v>7.3810506287208852</v>
      </c>
      <c r="W98" s="10"/>
      <c r="X98" s="146"/>
      <c r="Y98" s="146"/>
      <c r="Z98" s="146">
        <f>+U98*$U$3</f>
        <v>74</v>
      </c>
      <c r="AA98" s="10"/>
      <c r="AB98" s="146"/>
      <c r="AC98" s="146"/>
      <c r="AD98" s="146">
        <f t="shared" si="34"/>
        <v>74</v>
      </c>
      <c r="AE98" s="59">
        <v>0.2</v>
      </c>
      <c r="AF98" s="147">
        <f t="shared" si="31"/>
        <v>351.35135135135135</v>
      </c>
      <c r="AG98" s="59"/>
      <c r="AH98" s="147">
        <f t="shared" si="37"/>
        <v>0</v>
      </c>
      <c r="AI98" s="146"/>
      <c r="AK98" s="147">
        <f t="shared" si="43"/>
        <v>0</v>
      </c>
      <c r="AL98" s="6"/>
      <c r="AM98" s="147">
        <f>+$Z$7+AF98+AK98+AH98</f>
        <v>778.94871376457036</v>
      </c>
      <c r="AN98" s="147">
        <f>+Z3</f>
        <v>600.53863999999999</v>
      </c>
      <c r="AO98" s="147">
        <f t="shared" si="41"/>
        <v>-178.41007376457037</v>
      </c>
      <c r="AP98" s="5">
        <f t="shared" si="40"/>
        <v>-0.18595791039727139</v>
      </c>
      <c r="AQ98" s="12">
        <f t="shared" si="32"/>
        <v>-13202.345458578207</v>
      </c>
      <c r="AR98" t="s">
        <v>423</v>
      </c>
      <c r="AT98" s="237">
        <f t="shared" si="33"/>
        <v>57642.204818578204</v>
      </c>
      <c r="AU98" s="147"/>
      <c r="AV98" s="147">
        <f t="shared" si="39"/>
        <v>26000</v>
      </c>
    </row>
    <row r="99" spans="3:48" x14ac:dyDescent="0.15">
      <c r="K99" s="2"/>
      <c r="L99" s="2"/>
      <c r="M99" s="2"/>
      <c r="S99" t="s">
        <v>424</v>
      </c>
      <c r="T99" s="146">
        <v>10</v>
      </c>
      <c r="U99" s="146">
        <v>67</v>
      </c>
      <c r="V99" s="10">
        <f t="shared" si="22"/>
        <v>6.7</v>
      </c>
      <c r="W99" s="10"/>
      <c r="X99" s="146"/>
      <c r="Y99" s="146"/>
      <c r="AA99" s="10"/>
      <c r="AB99" s="146">
        <f>+U99*$T$3</f>
        <v>22.11</v>
      </c>
      <c r="AC99" s="146"/>
      <c r="AD99" s="146">
        <f t="shared" si="34"/>
        <v>22.11</v>
      </c>
      <c r="AE99" s="59"/>
      <c r="AF99" s="147">
        <f t="shared" si="31"/>
        <v>0</v>
      </c>
      <c r="AG99" s="59"/>
      <c r="AH99" s="147">
        <f t="shared" si="37"/>
        <v>0</v>
      </c>
      <c r="AI99" s="146"/>
      <c r="AK99" s="147">
        <f t="shared" si="43"/>
        <v>0</v>
      </c>
      <c r="AL99" s="6"/>
      <c r="AM99" s="147">
        <f t="shared" si="35"/>
        <v>731.77662541167183</v>
      </c>
      <c r="AN99" s="147">
        <f>+AB2</f>
        <v>850</v>
      </c>
      <c r="AO99" s="147">
        <f t="shared" si="41"/>
        <v>118.22337458832817</v>
      </c>
      <c r="AP99" s="231">
        <f>+(AO99)/$C$22</f>
        <v>0.15595544770563946</v>
      </c>
      <c r="AQ99" s="12">
        <f t="shared" si="32"/>
        <v>2613.9188121479356</v>
      </c>
      <c r="AR99" t="s">
        <v>424</v>
      </c>
      <c r="AT99" s="237">
        <f t="shared" si="33"/>
        <v>16179.581187852064</v>
      </c>
      <c r="AU99" s="147"/>
      <c r="AV99" s="147">
        <f t="shared" si="39"/>
        <v>0</v>
      </c>
    </row>
    <row r="100" spans="3:48" x14ac:dyDescent="0.15">
      <c r="C100" s="6"/>
      <c r="K100" s="6"/>
      <c r="L100" s="6"/>
      <c r="M100" s="6"/>
      <c r="N100" s="6"/>
      <c r="S100" t="s">
        <v>425</v>
      </c>
      <c r="T100" s="146">
        <v>8.1465969999999999</v>
      </c>
      <c r="U100" s="146">
        <v>109</v>
      </c>
      <c r="V100" s="10">
        <f t="shared" si="22"/>
        <v>13.379819819244773</v>
      </c>
      <c r="W100" s="146"/>
      <c r="X100" s="146"/>
      <c r="Y100" s="146"/>
      <c r="Z100" s="146">
        <v>109</v>
      </c>
      <c r="AA100" s="10"/>
      <c r="AB100" s="146"/>
      <c r="AC100" s="146"/>
      <c r="AD100" s="146">
        <f t="shared" si="34"/>
        <v>109</v>
      </c>
      <c r="AE100" s="59">
        <v>0.3</v>
      </c>
      <c r="AF100" s="147">
        <f t="shared" si="31"/>
        <v>357.79816513761466</v>
      </c>
      <c r="AG100" s="59"/>
      <c r="AH100" s="147">
        <f t="shared" si="37"/>
        <v>0</v>
      </c>
      <c r="AI100" s="146"/>
      <c r="AK100" s="147">
        <f t="shared" si="43"/>
        <v>0</v>
      </c>
      <c r="AL100" s="6"/>
      <c r="AM100" s="147">
        <f>+$Z$7+AF100+AK100+AH100</f>
        <v>785.39552755083366</v>
      </c>
      <c r="AN100" s="147">
        <f>+Z3</f>
        <v>600.53863999999999</v>
      </c>
      <c r="AO100" s="147">
        <f t="shared" si="41"/>
        <v>-184.85688755083368</v>
      </c>
      <c r="AP100" s="5">
        <f>+(AO100)/AB$3</f>
        <v>-0.19267746381215214</v>
      </c>
      <c r="AQ100" s="12">
        <f t="shared" si="32"/>
        <v>-20149.400743040871</v>
      </c>
      <c r="AR100" t="s">
        <v>425</v>
      </c>
      <c r="AT100" s="237">
        <f t="shared" si="33"/>
        <v>85608.112503040873</v>
      </c>
      <c r="AU100" s="147">
        <f t="shared" si="36"/>
        <v>0</v>
      </c>
      <c r="AV100" s="147">
        <f t="shared" si="39"/>
        <v>39000</v>
      </c>
    </row>
    <row r="101" spans="3:48" x14ac:dyDescent="0.15">
      <c r="C101" s="42"/>
      <c r="S101" t="s">
        <v>426</v>
      </c>
      <c r="T101" s="146">
        <v>32</v>
      </c>
      <c r="U101" s="146">
        <v>591</v>
      </c>
      <c r="V101" s="10">
        <f t="shared" si="22"/>
        <v>18.46875</v>
      </c>
      <c r="W101" s="10">
        <v>103</v>
      </c>
      <c r="X101" s="146"/>
      <c r="Y101" s="146">
        <v>206</v>
      </c>
      <c r="Z101" s="146">
        <v>248</v>
      </c>
      <c r="AA101" s="10"/>
      <c r="AB101" s="146">
        <v>34</v>
      </c>
      <c r="AC101" s="146"/>
      <c r="AD101" s="146">
        <f t="shared" si="34"/>
        <v>591</v>
      </c>
      <c r="AE101" s="59"/>
      <c r="AF101" s="147">
        <f t="shared" si="31"/>
        <v>0</v>
      </c>
      <c r="AG101" s="59">
        <v>0.5</v>
      </c>
      <c r="AH101" s="147">
        <f t="shared" si="37"/>
        <v>109.98307952622673</v>
      </c>
      <c r="AI101" s="146">
        <v>50042</v>
      </c>
      <c r="AJ101">
        <v>0.8</v>
      </c>
      <c r="AK101" s="147">
        <f t="shared" si="43"/>
        <v>27.072758037225043</v>
      </c>
      <c r="AL101" s="6"/>
      <c r="AM101" s="147">
        <f>(+$AB$7*0.06+W7*0.17+Y7*0.35+Z7*0.42)+AF101+AK101+AH101</f>
        <v>664.7435177470054</v>
      </c>
      <c r="AN101" s="147">
        <f>+AB2*0.06+Z3*0.94</f>
        <v>615.50632159999998</v>
      </c>
      <c r="AO101" s="147">
        <f t="shared" si="41"/>
        <v>-49.23719614700542</v>
      </c>
      <c r="AP101" s="5">
        <f>+(AO101)/AB$3</f>
        <v>-5.1320230501109558E-2</v>
      </c>
      <c r="AQ101" s="12">
        <f t="shared" si="32"/>
        <v>-29099.182922880202</v>
      </c>
      <c r="AR101" t="s">
        <v>426</v>
      </c>
      <c r="AT101" s="237">
        <f t="shared" si="33"/>
        <v>392863.41898848017</v>
      </c>
      <c r="AU101" s="147"/>
      <c r="AV101" s="147">
        <f t="shared" si="39"/>
        <v>0</v>
      </c>
    </row>
    <row r="102" spans="3:48" x14ac:dyDescent="0.15">
      <c r="C102" s="42"/>
      <c r="G102" s="5"/>
      <c r="K102" s="2"/>
      <c r="L102" s="2"/>
      <c r="M102" s="2"/>
      <c r="S102" t="s">
        <v>427</v>
      </c>
      <c r="T102" s="146">
        <f>10+17+17+10</f>
        <v>54</v>
      </c>
      <c r="U102" s="146">
        <v>721</v>
      </c>
      <c r="V102" s="10">
        <f t="shared" si="22"/>
        <v>13.351851851851851</v>
      </c>
      <c r="W102">
        <f>107+227</f>
        <v>334</v>
      </c>
      <c r="Z102" s="146">
        <f>107+27+120+13+120</f>
        <v>387</v>
      </c>
      <c r="AB102" s="146"/>
      <c r="AC102" s="146"/>
      <c r="AD102" s="146">
        <f t="shared" si="34"/>
        <v>721</v>
      </c>
      <c r="AE102" s="59">
        <v>0.75</v>
      </c>
      <c r="AF102" s="147">
        <f t="shared" si="31"/>
        <v>135.22884882108184</v>
      </c>
      <c r="AH102" s="147">
        <f t="shared" si="37"/>
        <v>0</v>
      </c>
      <c r="AI102" s="146"/>
      <c r="AK102" s="147">
        <f t="shared" si="43"/>
        <v>0</v>
      </c>
      <c r="AL102" s="6"/>
      <c r="AM102" s="147">
        <f>(+$W$7*0.47+Z7*0.53)+AF102+AK102+AH102</f>
        <v>629.21021221142337</v>
      </c>
      <c r="AN102" s="147">
        <f>+Z3</f>
        <v>600.53863999999999</v>
      </c>
      <c r="AO102" s="147">
        <f t="shared" si="41"/>
        <v>-28.671572211423381</v>
      </c>
      <c r="AP102" s="5">
        <f>+(AO102)/AB$3</f>
        <v>-2.9884554967879645E-2</v>
      </c>
      <c r="AQ102" s="12">
        <f t="shared" si="32"/>
        <v>-20672.203564436259</v>
      </c>
      <c r="AR102" t="s">
        <v>427</v>
      </c>
      <c r="AT102" s="237">
        <f t="shared" si="33"/>
        <v>453660.56300443626</v>
      </c>
      <c r="AU102" s="147">
        <f t="shared" si="36"/>
        <v>0</v>
      </c>
      <c r="AV102" s="147">
        <f t="shared" si="39"/>
        <v>97500</v>
      </c>
    </row>
    <row r="103" spans="3:48" x14ac:dyDescent="0.15">
      <c r="C103" s="45"/>
      <c r="K103" s="2"/>
      <c r="L103" s="2"/>
      <c r="M103" s="2"/>
      <c r="S103" t="s">
        <v>428</v>
      </c>
      <c r="T103" s="146">
        <v>7.3</v>
      </c>
      <c r="U103" s="146">
        <v>62</v>
      </c>
      <c r="V103" s="10">
        <f t="shared" si="22"/>
        <v>8.493150684931507</v>
      </c>
      <c r="W103" s="146"/>
      <c r="X103" s="146"/>
      <c r="Y103" s="146"/>
      <c r="Z103" s="146"/>
      <c r="AB103" s="146">
        <v>62</v>
      </c>
      <c r="AC103" s="146"/>
      <c r="AD103" s="146">
        <f t="shared" si="34"/>
        <v>62</v>
      </c>
      <c r="AE103" s="59"/>
      <c r="AF103" s="147">
        <f t="shared" si="31"/>
        <v>0</v>
      </c>
      <c r="AH103" s="147">
        <f t="shared" si="37"/>
        <v>0</v>
      </c>
      <c r="AI103" s="146"/>
      <c r="AK103" s="147">
        <f t="shared" si="43"/>
        <v>0</v>
      </c>
      <c r="AL103" s="6"/>
      <c r="AM103" s="147">
        <f t="shared" si="35"/>
        <v>731.77662541167183</v>
      </c>
      <c r="AN103" s="147">
        <f>+$AB$2</f>
        <v>850</v>
      </c>
      <c r="AO103" s="147">
        <f t="shared" si="41"/>
        <v>118.22337458832817</v>
      </c>
      <c r="AP103" s="5">
        <f>+(AO103)/AB$3</f>
        <v>0.12322494596112429</v>
      </c>
      <c r="AQ103" s="12">
        <f t="shared" si="32"/>
        <v>7329.8492244763465</v>
      </c>
      <c r="AR103" t="s">
        <v>428</v>
      </c>
      <c r="AT103" s="237">
        <f t="shared" si="33"/>
        <v>45370.150775523653</v>
      </c>
      <c r="AU103" s="147"/>
      <c r="AV103" s="147">
        <f t="shared" si="39"/>
        <v>0</v>
      </c>
    </row>
    <row r="104" spans="3:48" x14ac:dyDescent="0.15">
      <c r="C104" s="47"/>
      <c r="K104" s="6"/>
      <c r="L104" s="6"/>
      <c r="M104" s="6"/>
      <c r="N104" s="6"/>
      <c r="S104" t="s">
        <v>429</v>
      </c>
      <c r="T104" s="146">
        <v>3.5340470000000002</v>
      </c>
      <c r="U104" s="146">
        <v>70</v>
      </c>
      <c r="V104" s="10">
        <f t="shared" si="22"/>
        <v>19.807320049789944</v>
      </c>
      <c r="W104" s="146">
        <v>70</v>
      </c>
      <c r="AB104" s="146"/>
      <c r="AC104" s="146"/>
      <c r="AD104" s="146">
        <f t="shared" si="34"/>
        <v>70</v>
      </c>
      <c r="AE104" s="59"/>
      <c r="AF104" s="147">
        <f t="shared" si="31"/>
        <v>0</v>
      </c>
      <c r="AH104" s="147">
        <f t="shared" si="37"/>
        <v>0</v>
      </c>
      <c r="AI104" s="146"/>
      <c r="AK104" s="147">
        <f t="shared" si="43"/>
        <v>0</v>
      </c>
      <c r="AL104" s="6"/>
      <c r="AM104" s="147">
        <f>+$W$7+AF104+AK104+AH104</f>
        <v>568.83991768369253</v>
      </c>
      <c r="AN104" s="147">
        <f>+W3</f>
        <v>600.53863999999999</v>
      </c>
      <c r="AO104" s="147">
        <f t="shared" si="41"/>
        <v>31.698722316307453</v>
      </c>
      <c r="AP104" s="231">
        <f>+(AO104)/$C$22</f>
        <v>4.1815659955155259E-2</v>
      </c>
      <c r="AQ104" s="12">
        <f t="shared" si="32"/>
        <v>2218.910562141522</v>
      </c>
      <c r="AR104" t="s">
        <v>429</v>
      </c>
      <c r="AT104" s="237">
        <f t="shared" si="33"/>
        <v>39818.794237858478</v>
      </c>
      <c r="AU104" s="147"/>
      <c r="AV104" s="147">
        <f t="shared" si="39"/>
        <v>0</v>
      </c>
    </row>
    <row r="105" spans="3:48" x14ac:dyDescent="0.15">
      <c r="C105" s="48"/>
      <c r="F105" s="9"/>
      <c r="S105" t="s">
        <v>430</v>
      </c>
      <c r="T105" s="146">
        <v>23.459327999999999</v>
      </c>
      <c r="U105" s="146">
        <v>242</v>
      </c>
      <c r="V105" s="10">
        <f t="shared" si="22"/>
        <v>10.315726008860953</v>
      </c>
      <c r="W105" s="146"/>
      <c r="X105" s="146"/>
      <c r="Y105" s="146"/>
      <c r="Z105" s="146"/>
      <c r="AB105" s="146">
        <v>242</v>
      </c>
      <c r="AC105" s="146"/>
      <c r="AD105" s="146">
        <f t="shared" si="34"/>
        <v>242</v>
      </c>
      <c r="AE105" s="59"/>
      <c r="AF105" s="147">
        <f>+AE105*$AF$7/AD105</f>
        <v>0</v>
      </c>
      <c r="AH105" s="147">
        <f t="shared" si="37"/>
        <v>0</v>
      </c>
      <c r="AI105" s="146"/>
      <c r="AK105" s="147">
        <f t="shared" si="43"/>
        <v>0</v>
      </c>
      <c r="AL105" s="6"/>
      <c r="AM105" s="147">
        <f t="shared" si="35"/>
        <v>731.77662541167183</v>
      </c>
      <c r="AN105" s="147">
        <f>+$AB$2</f>
        <v>850</v>
      </c>
      <c r="AO105" s="147">
        <f t="shared" si="41"/>
        <v>118.22337458832817</v>
      </c>
      <c r="AP105" s="5">
        <f>+(AO105)/AB$3</f>
        <v>0.12322494596112429</v>
      </c>
      <c r="AQ105" s="12">
        <f t="shared" si="32"/>
        <v>28610.056650375416</v>
      </c>
      <c r="AR105" t="s">
        <v>430</v>
      </c>
      <c r="AT105" s="237">
        <f t="shared" si="33"/>
        <v>177089.94334962458</v>
      </c>
      <c r="AU105" s="147">
        <f t="shared" si="36"/>
        <v>0</v>
      </c>
      <c r="AV105" s="147">
        <f t="shared" si="39"/>
        <v>0</v>
      </c>
    </row>
    <row r="106" spans="3:48" x14ac:dyDescent="0.15">
      <c r="C106" s="15"/>
      <c r="K106" s="2"/>
      <c r="L106" s="2"/>
      <c r="M106" s="2"/>
      <c r="S106" t="s">
        <v>431</v>
      </c>
      <c r="T106" s="146">
        <v>26.487407999999999</v>
      </c>
      <c r="U106" s="146">
        <v>195</v>
      </c>
      <c r="V106" s="10">
        <f t="shared" si="22"/>
        <v>7.361988760848174</v>
      </c>
      <c r="W106" s="146"/>
      <c r="AB106" s="146">
        <v>195</v>
      </c>
      <c r="AC106" s="146"/>
      <c r="AD106" s="146">
        <f t="shared" si="34"/>
        <v>195</v>
      </c>
      <c r="AE106" s="59"/>
      <c r="AF106" s="147">
        <f>+AE106*$AF$7/AD106</f>
        <v>0</v>
      </c>
      <c r="AH106" s="147">
        <f t="shared" si="37"/>
        <v>0</v>
      </c>
      <c r="AI106" s="146"/>
      <c r="AK106" s="147">
        <f t="shared" si="43"/>
        <v>0</v>
      </c>
      <c r="AL106" s="6"/>
      <c r="AM106" s="147">
        <f t="shared" si="35"/>
        <v>731.77662541167183</v>
      </c>
      <c r="AN106" s="147">
        <f>+$AB$2</f>
        <v>850</v>
      </c>
      <c r="AO106" s="147">
        <f t="shared" si="41"/>
        <v>118.22337458832817</v>
      </c>
      <c r="AP106" s="5">
        <f>+(AO106)/AB$3</f>
        <v>0.12322494596112429</v>
      </c>
      <c r="AQ106" s="12">
        <f t="shared" si="32"/>
        <v>23053.558044723992</v>
      </c>
      <c r="AR106" t="s">
        <v>431</v>
      </c>
      <c r="AT106" s="237">
        <f t="shared" si="33"/>
        <v>142696.44195527601</v>
      </c>
      <c r="AU106" s="147">
        <f t="shared" si="36"/>
        <v>0</v>
      </c>
      <c r="AV106" s="147">
        <f t="shared" si="39"/>
        <v>0</v>
      </c>
    </row>
    <row r="107" spans="3:48" x14ac:dyDescent="0.15">
      <c r="C107" s="49"/>
      <c r="K107" s="2"/>
      <c r="L107" s="2"/>
      <c r="M107" s="2"/>
      <c r="S107" t="s">
        <v>432</v>
      </c>
      <c r="T107" s="146">
        <v>17.899999999999999</v>
      </c>
      <c r="U107" s="146">
        <v>439</v>
      </c>
      <c r="V107" s="10">
        <f t="shared" si="22"/>
        <v>24.52513966480447</v>
      </c>
      <c r="W107" s="146">
        <v>268</v>
      </c>
      <c r="Y107" s="146">
        <v>171</v>
      </c>
      <c r="AB107" s="146"/>
      <c r="AC107" s="146"/>
      <c r="AD107" s="146">
        <f t="shared" si="34"/>
        <v>439</v>
      </c>
      <c r="AE107" s="59">
        <v>0.3</v>
      </c>
      <c r="AF107" s="147">
        <f t="shared" si="31"/>
        <v>88.838268792710707</v>
      </c>
      <c r="AH107" s="147">
        <f t="shared" si="37"/>
        <v>0</v>
      </c>
      <c r="AI107" s="146"/>
      <c r="AK107" s="147">
        <f t="shared" si="43"/>
        <v>0</v>
      </c>
      <c r="AL107" s="6"/>
      <c r="AM107" s="147">
        <f>(+$W$7*0.61+Y7*0.39)+AF107+AK107+AH107</f>
        <v>667.03086924044499</v>
      </c>
      <c r="AN107" s="147">
        <f>+W3</f>
        <v>600.53863999999999</v>
      </c>
      <c r="AO107" s="147">
        <f t="shared" si="41"/>
        <v>-66.492229240444999</v>
      </c>
      <c r="AP107" s="5">
        <f>+(AO107)/AB$3</f>
        <v>-6.9305256963942588E-2</v>
      </c>
      <c r="AQ107" s="12">
        <f t="shared" si="32"/>
        <v>-29190.088636555356</v>
      </c>
      <c r="AR107" t="s">
        <v>432</v>
      </c>
      <c r="AT107" s="237">
        <f t="shared" si="33"/>
        <v>292826.55159655533</v>
      </c>
      <c r="AU107" s="147"/>
      <c r="AV107" s="147">
        <f t="shared" si="39"/>
        <v>39000</v>
      </c>
    </row>
    <row r="108" spans="3:48" x14ac:dyDescent="0.15">
      <c r="C108" s="48"/>
      <c r="G108" s="5"/>
      <c r="K108" s="6"/>
      <c r="L108" s="6"/>
      <c r="M108" s="6"/>
      <c r="S108" t="s">
        <v>433</v>
      </c>
      <c r="T108" s="146">
        <v>4.13171</v>
      </c>
      <c r="U108" s="146">
        <v>26</v>
      </c>
      <c r="V108" s="10">
        <f t="shared" si="22"/>
        <v>6.2927940247500427</v>
      </c>
      <c r="W108" s="146"/>
      <c r="AB108" s="146">
        <v>26</v>
      </c>
      <c r="AC108" s="146"/>
      <c r="AD108" s="146">
        <f t="shared" si="34"/>
        <v>26</v>
      </c>
      <c r="AE108" s="59"/>
      <c r="AF108" s="147">
        <f t="shared" si="31"/>
        <v>0</v>
      </c>
      <c r="AH108" s="147">
        <f t="shared" si="37"/>
        <v>0</v>
      </c>
      <c r="AI108" s="146"/>
      <c r="AJ108">
        <v>0.4</v>
      </c>
      <c r="AK108" s="147">
        <f t="shared" si="43"/>
        <v>307.69230769230768</v>
      </c>
      <c r="AL108" s="6"/>
      <c r="AM108" s="147">
        <f t="shared" si="35"/>
        <v>1039.4689331039795</v>
      </c>
      <c r="AN108" s="147">
        <f>+$AB$2</f>
        <v>850</v>
      </c>
      <c r="AO108" s="147">
        <f t="shared" si="41"/>
        <v>-189.46893310397945</v>
      </c>
      <c r="AP108" s="5">
        <f>+(AO108)/AB$3</f>
        <v>-0.19748462708283027</v>
      </c>
      <c r="AQ108" s="12">
        <f t="shared" si="32"/>
        <v>-4926.1922607034658</v>
      </c>
      <c r="AR108" t="s">
        <v>433</v>
      </c>
      <c r="AT108" s="237">
        <f t="shared" si="33"/>
        <v>27026.192260703465</v>
      </c>
      <c r="AU108" s="147"/>
      <c r="AV108" s="147">
        <f t="shared" si="39"/>
        <v>0</v>
      </c>
    </row>
    <row r="109" spans="3:48" x14ac:dyDescent="0.15">
      <c r="C109" s="48"/>
      <c r="S109" t="s">
        <v>434</v>
      </c>
      <c r="T109" s="146">
        <v>17</v>
      </c>
      <c r="U109" s="146">
        <v>233</v>
      </c>
      <c r="V109" s="10">
        <f t="shared" si="22"/>
        <v>13.705882352941176</v>
      </c>
      <c r="W109" s="10"/>
      <c r="X109" s="146"/>
      <c r="Y109" s="146"/>
      <c r="Z109">
        <f>160+20</f>
        <v>180</v>
      </c>
      <c r="AB109" s="146">
        <v>53</v>
      </c>
      <c r="AC109" s="146"/>
      <c r="AD109" s="146">
        <f t="shared" si="34"/>
        <v>233</v>
      </c>
      <c r="AE109" s="59"/>
      <c r="AF109" s="147">
        <f t="shared" si="31"/>
        <v>0</v>
      </c>
      <c r="AH109" s="147">
        <f t="shared" si="37"/>
        <v>0</v>
      </c>
      <c r="AI109" s="146"/>
      <c r="AK109" s="147">
        <f t="shared" si="43"/>
        <v>0</v>
      </c>
      <c r="AL109" s="6"/>
      <c r="AM109" s="147">
        <f>(+$AB$7*0.24+Z7*0.76)+AF109+AK109+AH109</f>
        <v>500.60038553284767</v>
      </c>
      <c r="AN109" s="147">
        <f>+AB2*0.24+Z3*0.76</f>
        <v>660.40936639999995</v>
      </c>
      <c r="AO109" s="147">
        <f t="shared" si="41"/>
        <v>159.80898086715229</v>
      </c>
      <c r="AP109" s="231">
        <f>+(AO109)/$C$22</f>
        <v>0.21081348121980681</v>
      </c>
      <c r="AQ109" s="12">
        <f t="shared" si="32"/>
        <v>37235.492542046486</v>
      </c>
      <c r="AR109" t="s">
        <v>434</v>
      </c>
      <c r="AT109" s="237">
        <f t="shared" si="33"/>
        <v>116639.8898291535</v>
      </c>
      <c r="AU109" s="147"/>
      <c r="AV109" s="147">
        <f t="shared" si="39"/>
        <v>0</v>
      </c>
    </row>
    <row r="110" spans="3:48" x14ac:dyDescent="0.15">
      <c r="K110" s="2"/>
      <c r="L110" s="2"/>
      <c r="M110" s="2"/>
      <c r="S110" t="s">
        <v>435</v>
      </c>
      <c r="T110" s="146">
        <f>15+9+17</f>
        <v>41</v>
      </c>
      <c r="U110" s="146">
        <v>819</v>
      </c>
      <c r="V110" s="10">
        <f t="shared" si="22"/>
        <v>19.975609756097562</v>
      </c>
      <c r="W110" s="146">
        <f>179+80+100</f>
        <v>359</v>
      </c>
      <c r="X110" s="146"/>
      <c r="Y110" s="146"/>
      <c r="Z110" s="146">
        <f>120+140+40+160</f>
        <v>460</v>
      </c>
      <c r="AB110" s="146"/>
      <c r="AC110" s="146"/>
      <c r="AD110" s="146">
        <f t="shared" si="34"/>
        <v>819</v>
      </c>
      <c r="AE110" s="59">
        <v>0.5</v>
      </c>
      <c r="AF110" s="147">
        <f t="shared" si="31"/>
        <v>79.365079365079367</v>
      </c>
      <c r="AH110" s="147">
        <f t="shared" si="37"/>
        <v>0</v>
      </c>
      <c r="AI110" s="146"/>
      <c r="AJ110">
        <v>0.3</v>
      </c>
      <c r="AK110" s="147">
        <f t="shared" si="43"/>
        <v>7.3260073260073257</v>
      </c>
      <c r="AL110" s="6"/>
      <c r="AM110" s="147">
        <f>+$W$7*0.44+Z7*0.54+AF110+AK110+AH110</f>
        <v>567.88322617504969</v>
      </c>
      <c r="AN110" s="147">
        <f>+Z3</f>
        <v>600.53863999999999</v>
      </c>
      <c r="AO110" s="147">
        <f t="shared" si="41"/>
        <v>32.655413824950301</v>
      </c>
      <c r="AP110" s="5">
        <f>+(AO110)/AB$3</f>
        <v>3.4036937432463762E-2</v>
      </c>
      <c r="AQ110" s="12">
        <f t="shared" si="32"/>
        <v>26744.783922634299</v>
      </c>
      <c r="AR110" t="s">
        <v>435</v>
      </c>
      <c r="AT110" s="237">
        <f t="shared" si="33"/>
        <v>465096.36223736568</v>
      </c>
      <c r="AU110" s="147">
        <f t="shared" si="36"/>
        <v>0</v>
      </c>
      <c r="AV110" s="147">
        <f t="shared" si="39"/>
        <v>65000</v>
      </c>
    </row>
    <row r="111" spans="3:48" x14ac:dyDescent="0.15">
      <c r="K111" s="2"/>
      <c r="L111" s="2"/>
      <c r="M111" s="2"/>
      <c r="S111" t="s">
        <v>436</v>
      </c>
      <c r="T111" s="146">
        <v>23.684002</v>
      </c>
      <c r="U111" s="146">
        <v>224</v>
      </c>
      <c r="V111" s="10">
        <f t="shared" si="22"/>
        <v>9.4578610489899475</v>
      </c>
      <c r="W111" s="146">
        <v>224</v>
      </c>
      <c r="AA111" s="10"/>
      <c r="AB111" s="146"/>
      <c r="AC111" s="146"/>
      <c r="AD111" s="146">
        <f t="shared" si="34"/>
        <v>224</v>
      </c>
      <c r="AF111" s="147">
        <f t="shared" si="31"/>
        <v>0</v>
      </c>
      <c r="AH111" s="147">
        <f t="shared" si="37"/>
        <v>0</v>
      </c>
      <c r="AI111" s="146"/>
      <c r="AJ111">
        <v>0.2</v>
      </c>
      <c r="AK111" s="147">
        <f t="shared" si="43"/>
        <v>17.857142857142858</v>
      </c>
      <c r="AL111" s="6"/>
      <c r="AM111" s="147">
        <f>+$W$7+AF111+AK111+AH111</f>
        <v>586.69706054083542</v>
      </c>
      <c r="AN111" s="147">
        <f>+Z3</f>
        <v>600.53863999999999</v>
      </c>
      <c r="AO111" s="147">
        <f t="shared" si="41"/>
        <v>13.841579459164564</v>
      </c>
      <c r="AP111" s="5">
        <f>+(AO111)/AB$3</f>
        <v>1.4427162875458579E-2</v>
      </c>
      <c r="AQ111" s="12">
        <f t="shared" si="32"/>
        <v>3100.5137988528622</v>
      </c>
      <c r="AR111" t="s">
        <v>436</v>
      </c>
      <c r="AT111" s="237">
        <f t="shared" si="33"/>
        <v>131420.14156114715</v>
      </c>
      <c r="AU111" s="147">
        <f t="shared" si="36"/>
        <v>0</v>
      </c>
      <c r="AV111" s="147">
        <f t="shared" si="39"/>
        <v>0</v>
      </c>
    </row>
    <row r="112" spans="3:48" x14ac:dyDescent="0.15">
      <c r="K112" s="6"/>
      <c r="L112" s="6"/>
      <c r="M112" s="6"/>
      <c r="S112" t="s">
        <v>437</v>
      </c>
      <c r="T112" s="146">
        <f>64+22</f>
        <v>86</v>
      </c>
      <c r="U112" s="146">
        <v>616</v>
      </c>
      <c r="V112" s="10">
        <f t="shared" si="22"/>
        <v>7.1627906976744189</v>
      </c>
      <c r="W112" s="146"/>
      <c r="AB112" s="146">
        <f>215+243+86+72</f>
        <v>616</v>
      </c>
      <c r="AC112" s="146"/>
      <c r="AD112" s="146">
        <f t="shared" si="34"/>
        <v>616</v>
      </c>
      <c r="AE112" s="59"/>
      <c r="AF112" s="147">
        <f t="shared" si="31"/>
        <v>0</v>
      </c>
      <c r="AH112" s="147">
        <f t="shared" si="37"/>
        <v>0</v>
      </c>
      <c r="AI112" s="146"/>
      <c r="AK112" s="147">
        <f t="shared" si="43"/>
        <v>0</v>
      </c>
      <c r="AL112" s="6"/>
      <c r="AM112" s="147">
        <f t="shared" si="35"/>
        <v>731.77662541167183</v>
      </c>
      <c r="AN112" s="147">
        <f>+$AB$2</f>
        <v>850</v>
      </c>
      <c r="AO112" s="147">
        <f t="shared" si="41"/>
        <v>118.22337458832817</v>
      </c>
      <c r="AP112" s="5">
        <f>+(AO112)/AB$3</f>
        <v>0.12322494596112429</v>
      </c>
      <c r="AQ112" s="12">
        <f t="shared" si="32"/>
        <v>72825.598746410149</v>
      </c>
      <c r="AR112" t="s">
        <v>437</v>
      </c>
      <c r="AT112" s="237">
        <f t="shared" si="33"/>
        <v>450774.40125358984</v>
      </c>
      <c r="AU112" s="147">
        <f t="shared" si="36"/>
        <v>0</v>
      </c>
      <c r="AV112" s="147">
        <f t="shared" si="39"/>
        <v>0</v>
      </c>
    </row>
    <row r="113" spans="2:48" x14ac:dyDescent="0.15">
      <c r="S113" t="s">
        <v>438</v>
      </c>
      <c r="T113" s="146">
        <f>28+17</f>
        <v>45</v>
      </c>
      <c r="U113" s="146">
        <v>574</v>
      </c>
      <c r="V113" s="10">
        <f t="shared" si="22"/>
        <v>12.755555555555556</v>
      </c>
      <c r="W113" s="146">
        <v>291</v>
      </c>
      <c r="Z113">
        <v>136</v>
      </c>
      <c r="AB113" s="146">
        <f>83+64</f>
        <v>147</v>
      </c>
      <c r="AC113" s="146"/>
      <c r="AD113" s="146">
        <f t="shared" si="34"/>
        <v>574</v>
      </c>
      <c r="AE113" s="59">
        <v>0.45</v>
      </c>
      <c r="AF113" s="147">
        <f t="shared" si="31"/>
        <v>101.91637630662021</v>
      </c>
      <c r="AH113" s="147">
        <f t="shared" si="37"/>
        <v>0</v>
      </c>
      <c r="AI113" s="146"/>
      <c r="AJ113">
        <v>0.1</v>
      </c>
      <c r="AK113" s="147">
        <f t="shared" si="43"/>
        <v>3.484320557491289</v>
      </c>
      <c r="AL113" s="6"/>
      <c r="AM113" s="147">
        <f>(+$AB$7*0.26+W7*0.51+Z7*0.23)+AF113+AK113+AH113</f>
        <v>684.11837084486979</v>
      </c>
      <c r="AN113" s="147">
        <f>+AB2*0.26+W3*0.74</f>
        <v>665.39859359999991</v>
      </c>
      <c r="AO113" s="147">
        <f t="shared" si="41"/>
        <v>-18.719777244869874</v>
      </c>
      <c r="AP113" s="5">
        <f>+(AO113)/AB$3</f>
        <v>-1.9511738244960504E-2</v>
      </c>
      <c r="AQ113" s="12">
        <f t="shared" si="32"/>
        <v>-10745.152138555308</v>
      </c>
      <c r="AR113" t="s">
        <v>438</v>
      </c>
      <c r="AT113" s="237">
        <f t="shared" si="33"/>
        <v>392683.94486495527</v>
      </c>
      <c r="AU113" s="147">
        <f t="shared" si="36"/>
        <v>0</v>
      </c>
      <c r="AV113" s="147">
        <f t="shared" si="39"/>
        <v>58500</v>
      </c>
    </row>
    <row r="114" spans="2:48" x14ac:dyDescent="0.15">
      <c r="S114" t="s">
        <v>439</v>
      </c>
      <c r="T114" s="146">
        <v>39</v>
      </c>
      <c r="U114" s="146">
        <v>699</v>
      </c>
      <c r="V114" s="10">
        <f t="shared" si="22"/>
        <v>17.923076923076923</v>
      </c>
      <c r="W114" s="146">
        <v>161</v>
      </c>
      <c r="X114" s="146"/>
      <c r="Y114" s="146"/>
      <c r="Z114" s="146">
        <f>36+18+484</f>
        <v>538</v>
      </c>
      <c r="AB114" s="146"/>
      <c r="AD114" s="146">
        <f t="shared" si="34"/>
        <v>699</v>
      </c>
      <c r="AE114" s="59">
        <v>0.5</v>
      </c>
      <c r="AF114" s="147">
        <f t="shared" si="31"/>
        <v>92.989985693848354</v>
      </c>
      <c r="AG114">
        <v>0.7</v>
      </c>
      <c r="AH114" s="147">
        <f t="shared" si="37"/>
        <v>130.1859799713877</v>
      </c>
      <c r="AI114" s="146">
        <v>50082</v>
      </c>
      <c r="AK114" s="147">
        <f t="shared" si="43"/>
        <v>0</v>
      </c>
      <c r="AL114" s="6"/>
      <c r="AM114" s="147">
        <f>(+$W$7*0.3+Z7*0.7)+AF114+AK114+AH114</f>
        <v>693.14609465959711</v>
      </c>
      <c r="AN114" s="147">
        <f>+Z3</f>
        <v>600.53863999999999</v>
      </c>
      <c r="AO114" s="147">
        <f t="shared" si="41"/>
        <v>-92.607454659597124</v>
      </c>
      <c r="AP114" s="5">
        <f>+(AO114)/AB$3</f>
        <v>-9.6525316044842033E-2</v>
      </c>
      <c r="AQ114" s="12">
        <f t="shared" si="32"/>
        <v>-64732.610807058387</v>
      </c>
      <c r="AR114" t="s">
        <v>439</v>
      </c>
      <c r="AT114" s="237">
        <f t="shared" si="33"/>
        <v>484509.12016705837</v>
      </c>
      <c r="AU114" s="147">
        <f t="shared" si="36"/>
        <v>91000</v>
      </c>
      <c r="AV114" s="147">
        <f t="shared" si="39"/>
        <v>65000</v>
      </c>
    </row>
    <row r="115" spans="2:48" x14ac:dyDescent="0.15">
      <c r="K115" s="6"/>
      <c r="L115" s="6"/>
      <c r="M115" s="6"/>
      <c r="N115" s="6"/>
      <c r="S115" t="s">
        <v>440</v>
      </c>
      <c r="T115" s="146">
        <v>29.908538</v>
      </c>
      <c r="U115" s="146">
        <v>391</v>
      </c>
      <c r="V115" s="146">
        <f t="shared" si="22"/>
        <v>13.073190003469913</v>
      </c>
      <c r="W115" s="146"/>
      <c r="Z115" s="146">
        <v>391</v>
      </c>
      <c r="AB115" s="146"/>
      <c r="AD115" s="146">
        <f t="shared" si="34"/>
        <v>391</v>
      </c>
      <c r="AE115" s="59">
        <v>0.6</v>
      </c>
      <c r="AF115" s="147">
        <f t="shared" si="31"/>
        <v>199.48849104859335</v>
      </c>
      <c r="AH115" s="147">
        <f t="shared" si="37"/>
        <v>0</v>
      </c>
      <c r="AI115" s="146"/>
      <c r="AK115" s="147">
        <f t="shared" si="43"/>
        <v>0</v>
      </c>
      <c r="AM115" s="147">
        <f>+$Z$7+AF115+AK115+AH115</f>
        <v>627.08585346181235</v>
      </c>
      <c r="AN115" s="147">
        <f>+Z3</f>
        <v>600.53863999999999</v>
      </c>
      <c r="AO115" s="147">
        <f t="shared" si="41"/>
        <v>-26.547213461812362</v>
      </c>
      <c r="AP115" s="231">
        <f>+(AO115)/$C$22</f>
        <v>-3.501999985358964E-2</v>
      </c>
      <c r="AQ115" s="12">
        <f t="shared" si="32"/>
        <v>-10379.960463568634</v>
      </c>
      <c r="AR115" t="s">
        <v>440</v>
      </c>
      <c r="AT115" s="237">
        <f t="shared" si="33"/>
        <v>245190.56870356863</v>
      </c>
      <c r="AU115" s="147">
        <f t="shared" si="36"/>
        <v>0</v>
      </c>
      <c r="AV115" s="147">
        <f t="shared" si="39"/>
        <v>78000</v>
      </c>
    </row>
    <row r="116" spans="2:48" x14ac:dyDescent="0.15">
      <c r="S116" t="s">
        <v>441</v>
      </c>
      <c r="T116" s="146">
        <v>10.3</v>
      </c>
      <c r="U116" s="146">
        <v>153</v>
      </c>
      <c r="V116" s="146">
        <f t="shared" si="22"/>
        <v>14.854368932038835</v>
      </c>
      <c r="W116" s="146"/>
      <c r="Z116" s="146">
        <f>92+61</f>
        <v>153</v>
      </c>
      <c r="AB116" s="146"/>
      <c r="AD116" s="146">
        <f t="shared" si="34"/>
        <v>153</v>
      </c>
      <c r="AE116" s="59">
        <v>0.15</v>
      </c>
      <c r="AF116" s="147">
        <f t="shared" si="31"/>
        <v>127.45098039215686</v>
      </c>
      <c r="AH116" s="147">
        <f t="shared" si="37"/>
        <v>0</v>
      </c>
      <c r="AI116" s="146"/>
      <c r="AK116" s="147">
        <f t="shared" si="43"/>
        <v>0</v>
      </c>
      <c r="AM116" s="147">
        <f>+$Z$7+AF116+AH116+AK116</f>
        <v>555.04834280537591</v>
      </c>
      <c r="AN116" s="147">
        <f>+Z3</f>
        <v>600.53863999999999</v>
      </c>
      <c r="AO116" s="147">
        <f t="shared" si="41"/>
        <v>45.490297194624077</v>
      </c>
      <c r="AP116" s="5">
        <f t="shared" ref="AP116:AP128" si="44">+(AO116)/AB$3</f>
        <v>4.7414814820524107E-2</v>
      </c>
      <c r="AQ116" s="12">
        <f t="shared" si="32"/>
        <v>6960.0154707774836</v>
      </c>
      <c r="AR116" t="s">
        <v>441</v>
      </c>
      <c r="AT116" s="237">
        <f t="shared" si="33"/>
        <v>84922.39644922252</v>
      </c>
      <c r="AU116" s="147">
        <f t="shared" si="36"/>
        <v>0</v>
      </c>
      <c r="AV116" s="147">
        <f t="shared" si="39"/>
        <v>19500</v>
      </c>
    </row>
    <row r="117" spans="2:48" x14ac:dyDescent="0.15">
      <c r="S117" t="s">
        <v>442</v>
      </c>
      <c r="T117" s="146">
        <v>8.6193500000000007</v>
      </c>
      <c r="U117" s="146">
        <v>120</v>
      </c>
      <c r="V117" s="10">
        <f t="shared" si="22"/>
        <v>13.922163504208553</v>
      </c>
      <c r="W117" s="146">
        <v>120</v>
      </c>
      <c r="X117" s="31"/>
      <c r="Y117" s="31"/>
      <c r="Z117" s="31"/>
      <c r="AA117" s="31"/>
      <c r="AB117" s="146"/>
      <c r="AC117" s="146"/>
      <c r="AD117" s="146">
        <f t="shared" si="34"/>
        <v>120</v>
      </c>
      <c r="AE117" s="235"/>
      <c r="AF117" s="147">
        <f t="shared" si="31"/>
        <v>0</v>
      </c>
      <c r="AG117" s="235"/>
      <c r="AH117" s="147">
        <f t="shared" si="37"/>
        <v>0</v>
      </c>
      <c r="AI117" s="146"/>
      <c r="AJ117" s="143">
        <v>0.2</v>
      </c>
      <c r="AK117" s="147">
        <f t="shared" si="43"/>
        <v>33.333333333333336</v>
      </c>
      <c r="AL117" s="6"/>
      <c r="AM117" s="147">
        <f>+$W$7+AF117+AK117+AH117</f>
        <v>602.1732510170259</v>
      </c>
      <c r="AN117" s="147">
        <f>+W3</f>
        <v>600.53863999999999</v>
      </c>
      <c r="AO117" s="147">
        <f t="shared" si="41"/>
        <v>-1.634611017025918</v>
      </c>
      <c r="AP117" s="5">
        <f t="shared" si="44"/>
        <v>-1.7037650544308115E-3</v>
      </c>
      <c r="AQ117" s="12">
        <f t="shared" si="32"/>
        <v>-196.15332204311017</v>
      </c>
      <c r="AR117" t="s">
        <v>442</v>
      </c>
      <c r="AT117" s="237">
        <f t="shared" si="33"/>
        <v>72260.790122043109</v>
      </c>
      <c r="AU117" s="147">
        <f t="shared" si="36"/>
        <v>0</v>
      </c>
      <c r="AV117" s="147">
        <f t="shared" si="39"/>
        <v>0</v>
      </c>
    </row>
    <row r="118" spans="2:48" x14ac:dyDescent="0.15">
      <c r="B118" s="9"/>
      <c r="F118" s="9"/>
      <c r="S118" t="s">
        <v>443</v>
      </c>
      <c r="T118" s="146">
        <v>6.9691390000000002</v>
      </c>
      <c r="U118" s="146">
        <v>122</v>
      </c>
      <c r="V118" s="10">
        <f t="shared" si="22"/>
        <v>17.505749275484387</v>
      </c>
      <c r="W118" s="146">
        <v>122</v>
      </c>
      <c r="AB118" s="146"/>
      <c r="AC118" s="146"/>
      <c r="AD118" s="146">
        <f t="shared" si="34"/>
        <v>122</v>
      </c>
      <c r="AE118" s="59"/>
      <c r="AF118" s="147">
        <f t="shared" si="31"/>
        <v>0</v>
      </c>
      <c r="AG118" s="235"/>
      <c r="AH118" s="147">
        <f t="shared" si="37"/>
        <v>0</v>
      </c>
      <c r="AI118" s="146"/>
      <c r="AJ118">
        <v>0.2</v>
      </c>
      <c r="AK118" s="147">
        <f t="shared" si="43"/>
        <v>32.786885245901637</v>
      </c>
      <c r="AL118" s="6"/>
      <c r="AM118" s="147">
        <f>+$W$7+AF118+AK118+AH118</f>
        <v>601.62680292959419</v>
      </c>
      <c r="AN118" s="147">
        <f>+W3</f>
        <v>600.53863999999999</v>
      </c>
      <c r="AO118" s="147">
        <f t="shared" si="41"/>
        <v>-1.0881629295942048</v>
      </c>
      <c r="AP118" s="5">
        <f t="shared" si="44"/>
        <v>-1.1341988727953528E-3</v>
      </c>
      <c r="AQ118" s="12">
        <f t="shared" si="32"/>
        <v>-132.75587741049299</v>
      </c>
      <c r="AR118" t="s">
        <v>443</v>
      </c>
      <c r="AT118" s="237">
        <f t="shared" si="33"/>
        <v>73398.469957410489</v>
      </c>
      <c r="AU118" s="147">
        <f t="shared" si="36"/>
        <v>0</v>
      </c>
      <c r="AV118" s="147">
        <f t="shared" si="39"/>
        <v>0</v>
      </c>
    </row>
    <row r="119" spans="2:48" x14ac:dyDescent="0.15">
      <c r="S119" t="s">
        <v>444</v>
      </c>
      <c r="T119" s="146">
        <v>5.2140529999999998</v>
      </c>
      <c r="U119" s="146">
        <v>64</v>
      </c>
      <c r="V119" s="10">
        <f t="shared" si="22"/>
        <v>12.274520416267345</v>
      </c>
      <c r="W119" s="146">
        <v>64</v>
      </c>
      <c r="X119" s="146"/>
      <c r="Y119" s="146"/>
      <c r="Z119" s="146"/>
      <c r="AB119" s="146"/>
      <c r="AC119" s="146"/>
      <c r="AD119" s="146">
        <f t="shared" si="34"/>
        <v>64</v>
      </c>
      <c r="AE119" s="59">
        <v>0.15</v>
      </c>
      <c r="AF119" s="147">
        <f t="shared" si="31"/>
        <v>304.6875</v>
      </c>
      <c r="AG119" s="235"/>
      <c r="AH119" s="147">
        <f t="shared" si="37"/>
        <v>0</v>
      </c>
      <c r="AI119" s="147"/>
      <c r="AK119" s="147">
        <f t="shared" si="43"/>
        <v>0</v>
      </c>
      <c r="AL119" s="6"/>
      <c r="AM119" s="147">
        <f t="shared" si="35"/>
        <v>1036.4641254116718</v>
      </c>
      <c r="AN119" s="147">
        <f>+AB2</f>
        <v>850</v>
      </c>
      <c r="AO119" s="147">
        <f t="shared" si="41"/>
        <v>-186.46412541167183</v>
      </c>
      <c r="AP119" s="5">
        <f t="shared" si="44"/>
        <v>-0.19435269765857296</v>
      </c>
      <c r="AQ119" s="12">
        <f t="shared" si="32"/>
        <v>-11933.704026346997</v>
      </c>
      <c r="AR119" t="s">
        <v>444</v>
      </c>
      <c r="AT119" s="237">
        <f t="shared" si="33"/>
        <v>66333.704026346997</v>
      </c>
      <c r="AU119" s="147">
        <f t="shared" si="36"/>
        <v>0</v>
      </c>
      <c r="AV119" s="147">
        <f t="shared" si="39"/>
        <v>19500</v>
      </c>
    </row>
    <row r="120" spans="2:48" x14ac:dyDescent="0.15">
      <c r="C120" s="2"/>
      <c r="D120" s="2"/>
      <c r="F120" s="9"/>
      <c r="S120" t="s">
        <v>445</v>
      </c>
      <c r="T120" s="146">
        <v>23.239387000000001</v>
      </c>
      <c r="U120" s="146">
        <v>307</v>
      </c>
      <c r="V120" s="10">
        <f t="shared" si="22"/>
        <v>13.210331236361785</v>
      </c>
      <c r="W120" s="10"/>
      <c r="X120" s="146"/>
      <c r="Y120" s="146"/>
      <c r="Z120" s="146">
        <v>307</v>
      </c>
      <c r="AB120" s="146"/>
      <c r="AC120" s="146"/>
      <c r="AD120" s="146">
        <f t="shared" si="34"/>
        <v>307</v>
      </c>
      <c r="AE120" s="59">
        <v>0.55000000000000004</v>
      </c>
      <c r="AF120" s="147">
        <f t="shared" si="31"/>
        <v>232.89902280130292</v>
      </c>
      <c r="AG120" s="235"/>
      <c r="AH120" s="147">
        <f t="shared" si="37"/>
        <v>0</v>
      </c>
      <c r="AI120" s="147"/>
      <c r="AK120" s="147">
        <f t="shared" si="43"/>
        <v>0</v>
      </c>
      <c r="AL120" s="6"/>
      <c r="AM120" s="147">
        <f>+$Z$7+AF120+AK120+AH120</f>
        <v>660.49638521452198</v>
      </c>
      <c r="AN120" s="147">
        <f>+Z3</f>
        <v>600.53863999999999</v>
      </c>
      <c r="AO120" s="147">
        <f t="shared" si="41"/>
        <v>-59.957745214521992</v>
      </c>
      <c r="AP120" s="5">
        <f t="shared" si="44"/>
        <v>-6.2494324322389577E-2</v>
      </c>
      <c r="AQ120" s="12">
        <f t="shared" si="32"/>
        <v>-18407.02778085825</v>
      </c>
      <c r="AR120" t="s">
        <v>445</v>
      </c>
      <c r="AT120" s="237">
        <f t="shared" si="33"/>
        <v>202772.39026085826</v>
      </c>
      <c r="AU120" s="147">
        <f t="shared" si="36"/>
        <v>0</v>
      </c>
      <c r="AV120" s="147">
        <f t="shared" si="39"/>
        <v>71500</v>
      </c>
    </row>
    <row r="121" spans="2:48" x14ac:dyDescent="0.15">
      <c r="S121" t="s">
        <v>446</v>
      </c>
      <c r="T121" s="146">
        <v>3.7174079999999998</v>
      </c>
      <c r="U121" s="146">
        <v>48</v>
      </c>
      <c r="V121" s="10">
        <f t="shared" si="22"/>
        <v>12.912222710017303</v>
      </c>
      <c r="W121" s="146">
        <v>48</v>
      </c>
      <c r="X121" s="146"/>
      <c r="Y121" s="146"/>
      <c r="Z121" s="146"/>
      <c r="AB121" s="146"/>
      <c r="AC121" s="146"/>
      <c r="AD121" s="146">
        <f t="shared" si="34"/>
        <v>48</v>
      </c>
      <c r="AF121" s="147">
        <f t="shared" si="31"/>
        <v>0</v>
      </c>
      <c r="AG121" s="59"/>
      <c r="AH121" s="147">
        <f t="shared" si="37"/>
        <v>0</v>
      </c>
      <c r="AI121" s="147"/>
      <c r="AK121" s="147">
        <f t="shared" si="43"/>
        <v>0</v>
      </c>
      <c r="AL121" s="6"/>
      <c r="AM121" s="147">
        <f>+$W$7+AF121+AK121+AH121</f>
        <v>568.83991768369253</v>
      </c>
      <c r="AN121" s="147">
        <f>+W3</f>
        <v>600.53863999999999</v>
      </c>
      <c r="AO121" s="147">
        <f t="shared" si="41"/>
        <v>31.698722316307453</v>
      </c>
      <c r="AP121" s="5">
        <f t="shared" si="44"/>
        <v>3.3039772025330982E-2</v>
      </c>
      <c r="AQ121" s="12">
        <f t="shared" si="32"/>
        <v>1521.5386711827578</v>
      </c>
      <c r="AR121" t="s">
        <v>446</v>
      </c>
      <c r="AT121" s="237">
        <f t="shared" si="33"/>
        <v>27304.316048817243</v>
      </c>
      <c r="AU121" s="147">
        <f t="shared" si="36"/>
        <v>0</v>
      </c>
      <c r="AV121" s="147">
        <f t="shared" si="39"/>
        <v>0</v>
      </c>
    </row>
    <row r="122" spans="2:48" x14ac:dyDescent="0.15">
      <c r="C122" s="6"/>
      <c r="S122" t="s">
        <v>447</v>
      </c>
      <c r="T122" s="146">
        <v>28.4</v>
      </c>
      <c r="U122" s="146">
        <v>183</v>
      </c>
      <c r="V122" s="10">
        <f t="shared" si="22"/>
        <v>6.443661971830986</v>
      </c>
      <c r="W122" s="10"/>
      <c r="X122" s="146"/>
      <c r="Y122" s="146"/>
      <c r="Z122" s="146"/>
      <c r="AB122" s="146">
        <f>39+92+26+26</f>
        <v>183</v>
      </c>
      <c r="AC122" s="146"/>
      <c r="AD122" s="146">
        <f t="shared" si="34"/>
        <v>183</v>
      </c>
      <c r="AE122">
        <v>0.25</v>
      </c>
      <c r="AF122" s="147">
        <f t="shared" si="31"/>
        <v>177.59562841530055</v>
      </c>
      <c r="AG122" s="59"/>
      <c r="AH122" s="147">
        <f t="shared" si="37"/>
        <v>0</v>
      </c>
      <c r="AI122" s="146"/>
      <c r="AK122" s="147">
        <f t="shared" si="43"/>
        <v>0</v>
      </c>
      <c r="AL122" s="6"/>
      <c r="AM122" s="147">
        <f t="shared" si="35"/>
        <v>909.37225382697238</v>
      </c>
      <c r="AN122" s="147">
        <f>+$AB$2</f>
        <v>850</v>
      </c>
      <c r="AO122" s="147">
        <f t="shared" si="41"/>
        <v>-59.372253826972383</v>
      </c>
      <c r="AP122" s="5">
        <f t="shared" si="44"/>
        <v>-6.1884063070393243E-2</v>
      </c>
      <c r="AQ122" s="12">
        <f t="shared" si="32"/>
        <v>-10865.122450335946</v>
      </c>
      <c r="AR122" t="s">
        <v>447</v>
      </c>
      <c r="AT122" s="237">
        <f t="shared" si="33"/>
        <v>166415.12245033594</v>
      </c>
      <c r="AU122" s="147">
        <f t="shared" si="36"/>
        <v>0</v>
      </c>
      <c r="AV122" s="147">
        <f t="shared" si="39"/>
        <v>32500</v>
      </c>
    </row>
    <row r="123" spans="2:48" x14ac:dyDescent="0.15">
      <c r="C123" s="42"/>
      <c r="S123" t="s">
        <v>448</v>
      </c>
      <c r="T123" s="146">
        <v>26.314803000000001</v>
      </c>
      <c r="U123" s="146">
        <v>676</v>
      </c>
      <c r="V123" s="10">
        <f t="shared" si="22"/>
        <v>25.688962976466133</v>
      </c>
      <c r="W123" s="146">
        <v>676</v>
      </c>
      <c r="X123" s="146"/>
      <c r="Y123" s="146"/>
      <c r="Z123" s="146"/>
      <c r="AB123" s="146"/>
      <c r="AC123" s="146"/>
      <c r="AD123" s="146">
        <f t="shared" si="34"/>
        <v>676</v>
      </c>
      <c r="AE123" s="59">
        <v>0.3</v>
      </c>
      <c r="AF123" s="147">
        <f t="shared" si="31"/>
        <v>57.692307692307693</v>
      </c>
      <c r="AG123" s="59"/>
      <c r="AH123" s="147">
        <f t="shared" si="37"/>
        <v>0</v>
      </c>
      <c r="AI123" s="146"/>
      <c r="AK123" s="147">
        <f t="shared" si="43"/>
        <v>0</v>
      </c>
      <c r="AL123" s="6"/>
      <c r="AM123" s="147">
        <f>+$W$7+AF123+AK123+AH123</f>
        <v>626.53222537600027</v>
      </c>
      <c r="AN123" s="147">
        <f>+W3</f>
        <v>600.53863999999999</v>
      </c>
      <c r="AO123" s="147">
        <f t="shared" si="41"/>
        <v>-25.993585376000283</v>
      </c>
      <c r="AP123" s="5">
        <f t="shared" si="44"/>
        <v>-2.7093272920410558E-2</v>
      </c>
      <c r="AQ123" s="12">
        <f t="shared" si="32"/>
        <v>-17571.663714176189</v>
      </c>
      <c r="AR123" t="s">
        <v>448</v>
      </c>
      <c r="AT123" s="237">
        <f t="shared" si="33"/>
        <v>423535.7843541762</v>
      </c>
      <c r="AU123" s="147">
        <f t="shared" si="36"/>
        <v>0</v>
      </c>
      <c r="AV123" s="147">
        <f t="shared" si="39"/>
        <v>39000</v>
      </c>
    </row>
    <row r="124" spans="2:48" x14ac:dyDescent="0.15">
      <c r="C124" s="42"/>
      <c r="G124" s="5"/>
      <c r="S124" t="s">
        <v>449</v>
      </c>
      <c r="T124" s="146">
        <v>17.100000000000001</v>
      </c>
      <c r="U124" s="146">
        <v>123</v>
      </c>
      <c r="V124" s="10">
        <f t="shared" si="22"/>
        <v>7.1929824561403501</v>
      </c>
      <c r="W124" s="10"/>
      <c r="X124" s="146"/>
      <c r="Y124" s="146"/>
      <c r="Z124" s="146"/>
      <c r="AB124" s="146">
        <f>+U124*$T$3</f>
        <v>40.590000000000003</v>
      </c>
      <c r="AC124" s="146"/>
      <c r="AD124" s="146">
        <f t="shared" si="34"/>
        <v>40.590000000000003</v>
      </c>
      <c r="AF124" s="147">
        <f t="shared" si="31"/>
        <v>0</v>
      </c>
      <c r="AG124" s="59"/>
      <c r="AH124" s="147">
        <f t="shared" si="37"/>
        <v>0</v>
      </c>
      <c r="AI124" s="146"/>
      <c r="AK124" s="147">
        <f t="shared" si="43"/>
        <v>0</v>
      </c>
      <c r="AL124" s="6"/>
      <c r="AM124" s="147">
        <f t="shared" si="35"/>
        <v>731.77662541167183</v>
      </c>
      <c r="AN124" s="147">
        <f>+$AB$2</f>
        <v>850</v>
      </c>
      <c r="AO124" s="147">
        <f t="shared" si="41"/>
        <v>118.22337458832817</v>
      </c>
      <c r="AP124" s="5">
        <f t="shared" si="44"/>
        <v>0.12322494596112429</v>
      </c>
      <c r="AQ124" s="12">
        <f t="shared" si="32"/>
        <v>4798.6867745402405</v>
      </c>
      <c r="AR124" t="s">
        <v>449</v>
      </c>
      <c r="AT124" s="237">
        <f t="shared" si="33"/>
        <v>29702.813225459762</v>
      </c>
      <c r="AU124" s="147">
        <f t="shared" si="36"/>
        <v>0</v>
      </c>
      <c r="AV124" s="147">
        <f t="shared" si="39"/>
        <v>0</v>
      </c>
    </row>
    <row r="125" spans="2:48" x14ac:dyDescent="0.15">
      <c r="C125" s="45"/>
      <c r="S125" t="s">
        <v>450</v>
      </c>
      <c r="T125" s="146">
        <v>45.9</v>
      </c>
      <c r="U125" s="146">
        <v>592</v>
      </c>
      <c r="V125" s="10">
        <f t="shared" si="22"/>
        <v>12.897603485838781</v>
      </c>
      <c r="W125" s="146">
        <v>270</v>
      </c>
      <c r="X125" s="146"/>
      <c r="Y125" s="146"/>
      <c r="Z125" s="146">
        <v>322</v>
      </c>
      <c r="AB125" s="146"/>
      <c r="AC125" s="146"/>
      <c r="AD125" s="146">
        <f t="shared" si="34"/>
        <v>592</v>
      </c>
      <c r="AE125">
        <v>0.5</v>
      </c>
      <c r="AF125" s="147">
        <f t="shared" si="31"/>
        <v>109.79729729729729</v>
      </c>
      <c r="AG125" s="59"/>
      <c r="AH125" s="147">
        <f t="shared" si="37"/>
        <v>0</v>
      </c>
      <c r="AI125" s="146"/>
      <c r="AK125" s="147">
        <f t="shared" si="43"/>
        <v>0</v>
      </c>
      <c r="AL125" s="6"/>
      <c r="AM125" s="147">
        <f>(+$W$7*0.42+Z7*0.58)+AF125+AK125+AH125</f>
        <v>596.7165329241152</v>
      </c>
      <c r="AN125" s="147">
        <f>+Z3</f>
        <v>600.53863999999999</v>
      </c>
      <c r="AO125" s="147">
        <f t="shared" si="41"/>
        <v>3.8221070758847873</v>
      </c>
      <c r="AP125" s="5">
        <f t="shared" si="44"/>
        <v>3.9838055674146864E-3</v>
      </c>
      <c r="AQ125" s="12">
        <f t="shared" si="32"/>
        <v>2262.6873889237941</v>
      </c>
      <c r="AR125" t="s">
        <v>450</v>
      </c>
      <c r="AT125" s="237">
        <f t="shared" si="33"/>
        <v>353256.18749107618</v>
      </c>
      <c r="AU125" s="147">
        <f t="shared" si="36"/>
        <v>0</v>
      </c>
      <c r="AV125" s="147">
        <f t="shared" si="39"/>
        <v>65000</v>
      </c>
    </row>
    <row r="126" spans="2:48" x14ac:dyDescent="0.15">
      <c r="C126" s="47"/>
      <c r="S126" t="s">
        <v>451</v>
      </c>
      <c r="T126" s="146">
        <v>27.6</v>
      </c>
      <c r="U126" s="146">
        <v>112</v>
      </c>
      <c r="V126" s="10">
        <f t="shared" si="22"/>
        <v>4.057971014492753</v>
      </c>
      <c r="W126" s="10"/>
      <c r="X126" s="146"/>
      <c r="Y126" s="146"/>
      <c r="Z126" s="146"/>
      <c r="AB126" s="146">
        <f>80+32</f>
        <v>112</v>
      </c>
      <c r="AC126" s="146"/>
      <c r="AD126" s="146">
        <f t="shared" si="34"/>
        <v>112</v>
      </c>
      <c r="AE126" s="59"/>
      <c r="AF126" s="147">
        <f t="shared" si="31"/>
        <v>0</v>
      </c>
      <c r="AG126" s="59"/>
      <c r="AH126" s="147">
        <f t="shared" si="37"/>
        <v>0</v>
      </c>
      <c r="AI126" s="146"/>
      <c r="AK126" s="147">
        <f t="shared" si="43"/>
        <v>0</v>
      </c>
      <c r="AL126" s="6"/>
      <c r="AM126" s="147">
        <f t="shared" si="35"/>
        <v>731.77662541167183</v>
      </c>
      <c r="AN126" s="147">
        <f>+AB2</f>
        <v>850</v>
      </c>
      <c r="AO126" s="147">
        <f t="shared" si="41"/>
        <v>118.22337458832817</v>
      </c>
      <c r="AP126" s="5">
        <f t="shared" si="44"/>
        <v>0.12322494596112429</v>
      </c>
      <c r="AQ126" s="12">
        <f t="shared" si="32"/>
        <v>13241.017953892755</v>
      </c>
      <c r="AR126" t="s">
        <v>451</v>
      </c>
      <c r="AT126" s="237">
        <f t="shared" si="33"/>
        <v>81958.982046107238</v>
      </c>
      <c r="AU126" s="147">
        <f t="shared" si="36"/>
        <v>0</v>
      </c>
      <c r="AV126" s="147">
        <f t="shared" si="39"/>
        <v>0</v>
      </c>
    </row>
    <row r="127" spans="2:48" x14ac:dyDescent="0.15">
      <c r="C127" s="47"/>
      <c r="S127" t="s">
        <v>452</v>
      </c>
      <c r="T127" s="146">
        <v>31</v>
      </c>
      <c r="U127" s="146">
        <v>267</v>
      </c>
      <c r="V127" s="146">
        <f t="shared" si="22"/>
        <v>8.612903225806452</v>
      </c>
      <c r="W127" s="146">
        <v>112</v>
      </c>
      <c r="X127" s="146"/>
      <c r="Y127" s="146"/>
      <c r="Z127" s="146">
        <v>155</v>
      </c>
      <c r="AB127" s="146"/>
      <c r="AC127" s="146"/>
      <c r="AD127" s="146">
        <f t="shared" si="34"/>
        <v>267</v>
      </c>
      <c r="AE127">
        <v>0.2</v>
      </c>
      <c r="AF127" s="147">
        <f t="shared" si="31"/>
        <v>97.378277153558059</v>
      </c>
      <c r="AG127" s="59">
        <v>0.1</v>
      </c>
      <c r="AH127" s="147">
        <f t="shared" si="37"/>
        <v>48.68913857677903</v>
      </c>
      <c r="AI127" s="146">
        <v>50092</v>
      </c>
      <c r="AK127" s="147">
        <f t="shared" si="43"/>
        <v>0</v>
      </c>
      <c r="AL127" s="147"/>
      <c r="AM127" s="147">
        <f>(+$W$7*0.42+Z7*0.58)+AF127+AK127+AH127</f>
        <v>632.98665135715487</v>
      </c>
      <c r="AN127" s="147">
        <f>+$AB$2</f>
        <v>850</v>
      </c>
      <c r="AO127" s="147">
        <f t="shared" si="41"/>
        <v>217.01334864284513</v>
      </c>
      <c r="AP127" s="5">
        <f t="shared" si="44"/>
        <v>0.22619433976127862</v>
      </c>
      <c r="AQ127" s="12">
        <f t="shared" si="32"/>
        <v>57942.56408763965</v>
      </c>
      <c r="AR127" t="s">
        <v>452</v>
      </c>
      <c r="AT127" s="237">
        <f t="shared" si="33"/>
        <v>169007.43591236035</v>
      </c>
      <c r="AU127" s="147">
        <f t="shared" si="36"/>
        <v>13000.000000000002</v>
      </c>
      <c r="AV127" s="147">
        <f t="shared" si="39"/>
        <v>26000.000000000004</v>
      </c>
    </row>
    <row r="128" spans="2:48" x14ac:dyDescent="0.15">
      <c r="C128" s="47"/>
      <c r="S128" t="s">
        <v>493</v>
      </c>
      <c r="T128" s="146">
        <v>8</v>
      </c>
      <c r="U128" s="146">
        <v>84</v>
      </c>
      <c r="V128" s="146">
        <f t="shared" si="22"/>
        <v>10.5</v>
      </c>
      <c r="W128" s="146">
        <v>84</v>
      </c>
      <c r="X128" s="146"/>
      <c r="Y128" s="146"/>
      <c r="Z128" s="146"/>
      <c r="AB128" s="146"/>
      <c r="AC128" s="146"/>
      <c r="AD128" s="146">
        <f t="shared" si="34"/>
        <v>84</v>
      </c>
      <c r="AE128">
        <v>0.35</v>
      </c>
      <c r="AF128" s="147">
        <f t="shared" si="31"/>
        <v>541.66666666666663</v>
      </c>
      <c r="AG128" s="59">
        <v>0.1</v>
      </c>
      <c r="AH128" s="147">
        <f t="shared" si="37"/>
        <v>154.76190476190476</v>
      </c>
      <c r="AI128" s="146">
        <v>50092</v>
      </c>
      <c r="AK128" s="147">
        <f t="shared" si="43"/>
        <v>0</v>
      </c>
      <c r="AL128" s="147"/>
      <c r="AM128" s="147">
        <f>+$W$7+AF128+AK128+AH128</f>
        <v>1265.268489112264</v>
      </c>
      <c r="AN128" s="147">
        <f>+W3</f>
        <v>600.53863999999999</v>
      </c>
      <c r="AO128" s="147">
        <f t="shared" si="41"/>
        <v>-664.72984911226399</v>
      </c>
      <c r="AP128" s="5">
        <f t="shared" si="44"/>
        <v>-0.69285198481969135</v>
      </c>
      <c r="AQ128" s="12">
        <f t="shared" si="32"/>
        <v>-55837.307325430178</v>
      </c>
      <c r="AR128" t="s">
        <v>493</v>
      </c>
      <c r="AT128" s="237">
        <f t="shared" si="33"/>
        <v>106282.55308543018</v>
      </c>
      <c r="AU128" s="147"/>
      <c r="AV128" s="147">
        <f t="shared" si="39"/>
        <v>45500</v>
      </c>
    </row>
    <row r="129" spans="3:48" x14ac:dyDescent="0.15">
      <c r="C129" s="48"/>
      <c r="F129" s="9"/>
      <c r="S129" t="s">
        <v>453</v>
      </c>
      <c r="T129" s="146">
        <v>5.8687899999999997</v>
      </c>
      <c r="U129" s="146">
        <v>44</v>
      </c>
      <c r="V129" s="10">
        <f t="shared" si="22"/>
        <v>7.4972864934679899</v>
      </c>
      <c r="W129" s="146">
        <v>44</v>
      </c>
      <c r="X129" s="146"/>
      <c r="Y129" s="146"/>
      <c r="AB129" s="146"/>
      <c r="AC129" s="146"/>
      <c r="AD129" s="146">
        <f t="shared" si="34"/>
        <v>44</v>
      </c>
      <c r="AF129" s="147">
        <f t="shared" si="31"/>
        <v>0</v>
      </c>
      <c r="AG129" s="59"/>
      <c r="AH129" s="147">
        <f t="shared" si="37"/>
        <v>0</v>
      </c>
      <c r="AI129" s="146"/>
      <c r="AK129" s="147">
        <f t="shared" si="43"/>
        <v>0</v>
      </c>
      <c r="AL129" s="6"/>
      <c r="AM129" s="147">
        <f>+$W$7+AF129+AK129+AH129</f>
        <v>568.83991768369253</v>
      </c>
      <c r="AN129" s="147">
        <f>+W3</f>
        <v>600.53863999999999</v>
      </c>
      <c r="AO129" s="147">
        <f t="shared" si="41"/>
        <v>31.698722316307453</v>
      </c>
      <c r="AP129" s="231">
        <f t="shared" ref="AP129:AP138" si="45">+(AO129)/$C$22</f>
        <v>4.1815659955155259E-2</v>
      </c>
      <c r="AQ129" s="12">
        <f t="shared" si="32"/>
        <v>1394.7437819175279</v>
      </c>
      <c r="AR129" t="s">
        <v>453</v>
      </c>
      <c r="AT129" s="237">
        <f t="shared" si="33"/>
        <v>25028.956378082472</v>
      </c>
      <c r="AU129" s="147">
        <f t="shared" si="36"/>
        <v>0</v>
      </c>
      <c r="AV129" s="147">
        <f t="shared" si="39"/>
        <v>0</v>
      </c>
    </row>
    <row r="130" spans="3:48" x14ac:dyDescent="0.15">
      <c r="C130" s="15"/>
      <c r="S130" t="s">
        <v>454</v>
      </c>
      <c r="T130" s="146">
        <v>4.9216139999999999</v>
      </c>
      <c r="U130" s="146">
        <v>39</v>
      </c>
      <c r="V130" s="10">
        <f t="shared" si="22"/>
        <v>7.9242297343920107</v>
      </c>
      <c r="W130" s="10"/>
      <c r="X130" s="146"/>
      <c r="Y130" s="146"/>
      <c r="AB130" s="146">
        <f>+U130*$T$3</f>
        <v>12.870000000000001</v>
      </c>
      <c r="AC130" s="146"/>
      <c r="AD130" s="146">
        <f t="shared" si="34"/>
        <v>12.870000000000001</v>
      </c>
      <c r="AF130" s="147">
        <f t="shared" ref="AF130:AF167" si="46">+AE130*$AF$7/AD130</f>
        <v>0</v>
      </c>
      <c r="AG130" s="59"/>
      <c r="AH130" s="147">
        <f t="shared" si="37"/>
        <v>0</v>
      </c>
      <c r="AI130" s="146"/>
      <c r="AK130" s="147">
        <f t="shared" si="43"/>
        <v>0</v>
      </c>
      <c r="AL130" s="6"/>
      <c r="AM130" s="147">
        <f t="shared" si="35"/>
        <v>731.77662541167183</v>
      </c>
      <c r="AN130" s="147">
        <f>+$AB$2</f>
        <v>850</v>
      </c>
      <c r="AO130" s="147">
        <f t="shared" si="41"/>
        <v>118.22337458832817</v>
      </c>
      <c r="AP130" s="231">
        <f t="shared" si="45"/>
        <v>0.15595544770563946</v>
      </c>
      <c r="AQ130" s="12">
        <f t="shared" si="32"/>
        <v>1521.5348309517838</v>
      </c>
      <c r="AR130" t="s">
        <v>454</v>
      </c>
      <c r="AT130" s="237">
        <f t="shared" si="33"/>
        <v>9417.9651690482169</v>
      </c>
      <c r="AU130" s="147">
        <f t="shared" si="36"/>
        <v>0</v>
      </c>
      <c r="AV130" s="147">
        <f t="shared" si="39"/>
        <v>0</v>
      </c>
    </row>
    <row r="131" spans="3:48" x14ac:dyDescent="0.15">
      <c r="C131" s="49"/>
      <c r="S131" t="s">
        <v>455</v>
      </c>
      <c r="T131" s="146">
        <v>24</v>
      </c>
      <c r="U131" s="146">
        <v>461</v>
      </c>
      <c r="V131" s="10">
        <f t="shared" si="22"/>
        <v>19.208333333333332</v>
      </c>
      <c r="W131" s="146">
        <v>360</v>
      </c>
      <c r="X131" s="146"/>
      <c r="Y131" s="146"/>
      <c r="Z131" s="146"/>
      <c r="AB131" s="146">
        <f>55+46</f>
        <v>101</v>
      </c>
      <c r="AD131" s="146">
        <f t="shared" si="34"/>
        <v>461</v>
      </c>
      <c r="AE131">
        <v>0.3</v>
      </c>
      <c r="AF131" s="147">
        <f t="shared" si="46"/>
        <v>84.598698481561826</v>
      </c>
      <c r="AG131" s="59"/>
      <c r="AH131" s="147">
        <f t="shared" si="37"/>
        <v>0</v>
      </c>
      <c r="AI131" s="146"/>
      <c r="AK131" s="147">
        <f t="shared" si="43"/>
        <v>0</v>
      </c>
      <c r="AL131" s="6"/>
      <c r="AM131" s="147">
        <f>(+$AB$7*0.22+W7*0.78)+AF131+AK131+AH131</f>
        <v>689.28469186540974</v>
      </c>
      <c r="AN131" s="147">
        <f>+AB2*0.22+W7*0.78</f>
        <v>630.6951357932802</v>
      </c>
      <c r="AO131" s="147">
        <f t="shared" si="41"/>
        <v>-58.58955607212954</v>
      </c>
      <c r="AP131" s="5">
        <f>+(AO131)/AB$3</f>
        <v>-6.1068252416364391E-2</v>
      </c>
      <c r="AQ131" s="12">
        <f t="shared" si="32"/>
        <v>-27009.785349251717</v>
      </c>
      <c r="AR131" t="s">
        <v>455</v>
      </c>
      <c r="AT131" s="237">
        <f t="shared" si="33"/>
        <v>317760.24294995388</v>
      </c>
      <c r="AU131" s="147">
        <f t="shared" si="36"/>
        <v>0</v>
      </c>
      <c r="AV131" s="147">
        <f t="shared" si="39"/>
        <v>39000</v>
      </c>
    </row>
    <row r="132" spans="3:48" x14ac:dyDescent="0.15">
      <c r="C132" s="48"/>
      <c r="G132" s="5"/>
      <c r="S132" t="s">
        <v>456</v>
      </c>
      <c r="T132" s="146">
        <v>56</v>
      </c>
      <c r="U132" s="146">
        <v>494</v>
      </c>
      <c r="V132" s="10">
        <f t="shared" si="22"/>
        <v>8.8214285714285712</v>
      </c>
      <c r="W132" s="10"/>
      <c r="X132" s="146"/>
      <c r="Y132" s="146"/>
      <c r="Z132">
        <v>236</v>
      </c>
      <c r="AB132" s="146">
        <f>168+90</f>
        <v>258</v>
      </c>
      <c r="AC132" s="146"/>
      <c r="AD132" s="146">
        <f t="shared" si="34"/>
        <v>494</v>
      </c>
      <c r="AE132">
        <v>0.1</v>
      </c>
      <c r="AF132" s="147">
        <f t="shared" si="46"/>
        <v>26.315789473684209</v>
      </c>
      <c r="AG132" s="59"/>
      <c r="AH132" s="147">
        <f t="shared" si="37"/>
        <v>0</v>
      </c>
      <c r="AI132" s="146"/>
      <c r="AK132" s="147">
        <f t="shared" si="43"/>
        <v>0</v>
      </c>
      <c r="AL132" s="6"/>
      <c r="AM132" s="147">
        <f>(+$AB$7*0.53+Z7*0.47)+AF132+AK132+AH132</f>
        <v>615.12816127608312</v>
      </c>
      <c r="AN132" s="147">
        <f>+AB2*0.47+Z3*0.53</f>
        <v>717.78547920000005</v>
      </c>
      <c r="AO132" s="147">
        <f t="shared" si="41"/>
        <v>102.65731792391693</v>
      </c>
      <c r="AP132" s="231">
        <f t="shared" si="45"/>
        <v>0.13542134144650991</v>
      </c>
      <c r="AQ132" s="12">
        <f t="shared" si="32"/>
        <v>50712.715054414963</v>
      </c>
      <c r="AR132" t="s">
        <v>456</v>
      </c>
      <c r="AT132" s="237">
        <f t="shared" si="33"/>
        <v>303873.31167038507</v>
      </c>
      <c r="AU132" s="147">
        <f t="shared" si="36"/>
        <v>0</v>
      </c>
      <c r="AV132" s="147">
        <f t="shared" si="39"/>
        <v>13000</v>
      </c>
    </row>
    <row r="133" spans="3:48" x14ac:dyDescent="0.15">
      <c r="C133" s="48"/>
      <c r="S133" t="s">
        <v>457</v>
      </c>
      <c r="T133" s="146">
        <f>15+14+23</f>
        <v>52</v>
      </c>
      <c r="U133" s="146">
        <v>409</v>
      </c>
      <c r="V133" s="10">
        <f t="shared" si="22"/>
        <v>7.865384615384615</v>
      </c>
      <c r="W133" s="146">
        <v>105</v>
      </c>
      <c r="X133" s="146"/>
      <c r="Y133" s="146"/>
      <c r="Z133" s="146">
        <v>120</v>
      </c>
      <c r="AB133" s="146">
        <f>40+30+114</f>
        <v>184</v>
      </c>
      <c r="AD133" s="146">
        <f t="shared" si="34"/>
        <v>409</v>
      </c>
      <c r="AF133" s="147">
        <f t="shared" si="46"/>
        <v>0</v>
      </c>
      <c r="AG133" s="59">
        <v>0.3</v>
      </c>
      <c r="AH133" s="147">
        <f t="shared" si="37"/>
        <v>95.354523227383865</v>
      </c>
      <c r="AI133" s="146">
        <v>50068</v>
      </c>
      <c r="AK133" s="147">
        <f t="shared" si="43"/>
        <v>0</v>
      </c>
      <c r="AL133" s="6"/>
      <c r="AM133" s="147">
        <f>(+$AB$7*0.45+Z7*0.29+W7*0.26)+AF133+AK133+AH133</f>
        <v>696.5556183602298</v>
      </c>
      <c r="AN133" s="147">
        <f>+AB2*0.45+Z3*0.55</f>
        <v>712.79625200000009</v>
      </c>
      <c r="AO133" s="147">
        <f t="shared" si="41"/>
        <v>16.240633639770294</v>
      </c>
      <c r="AP133" s="5">
        <f>+(AO133)/AB$3</f>
        <v>1.6927711711865558E-2</v>
      </c>
      <c r="AQ133" s="12">
        <f t="shared" si="32"/>
        <v>6642.4191586660509</v>
      </c>
      <c r="AR133" t="s">
        <v>457</v>
      </c>
      <c r="AT133" s="237">
        <f t="shared" si="33"/>
        <v>284891.24790933396</v>
      </c>
      <c r="AU133" s="147">
        <f t="shared" si="36"/>
        <v>39000</v>
      </c>
      <c r="AV133" s="147">
        <f t="shared" si="39"/>
        <v>0</v>
      </c>
    </row>
    <row r="134" spans="3:48" x14ac:dyDescent="0.15">
      <c r="S134" t="s">
        <v>458</v>
      </c>
      <c r="T134" s="146">
        <v>23</v>
      </c>
      <c r="U134" s="146">
        <v>275</v>
      </c>
      <c r="V134" s="10">
        <f t="shared" si="22"/>
        <v>11.956521739130435</v>
      </c>
      <c r="W134" s="10">
        <v>126</v>
      </c>
      <c r="X134" s="146"/>
      <c r="Y134" s="146"/>
      <c r="AB134" s="146">
        <f>25+66+58</f>
        <v>149</v>
      </c>
      <c r="AD134" s="146">
        <f t="shared" si="34"/>
        <v>275</v>
      </c>
      <c r="AE134" s="59"/>
      <c r="AF134" s="147">
        <f t="shared" si="46"/>
        <v>0</v>
      </c>
      <c r="AG134" s="59"/>
      <c r="AH134" s="147">
        <f t="shared" si="37"/>
        <v>0</v>
      </c>
      <c r="AI134" s="146"/>
      <c r="AK134" s="147">
        <f t="shared" si="43"/>
        <v>0</v>
      </c>
      <c r="AL134" s="6"/>
      <c r="AM134" s="147">
        <f>(+$AB$7*0.55+W7*0.45)+AF134+AK134+AH134</f>
        <v>658.45510693408119</v>
      </c>
      <c r="AN134" s="147">
        <f>+AB2*0.55+W3*0.45</f>
        <v>737.74238800000012</v>
      </c>
      <c r="AO134" s="147">
        <f t="shared" si="41"/>
        <v>79.287281065918933</v>
      </c>
      <c r="AP134" s="231">
        <f t="shared" si="45"/>
        <v>0.10459254321792169</v>
      </c>
      <c r="AQ134" s="12">
        <f t="shared" si="32"/>
        <v>21804.002293127705</v>
      </c>
      <c r="AR134" t="s">
        <v>458</v>
      </c>
      <c r="AT134" s="237">
        <f t="shared" si="33"/>
        <v>181075.15440687232</v>
      </c>
      <c r="AU134" s="147">
        <f t="shared" si="36"/>
        <v>0</v>
      </c>
      <c r="AV134" s="147">
        <f t="shared" si="39"/>
        <v>0</v>
      </c>
    </row>
    <row r="135" spans="3:48" x14ac:dyDescent="0.15">
      <c r="S135" t="s">
        <v>459</v>
      </c>
      <c r="T135" s="146">
        <f>42+21+16</f>
        <v>79</v>
      </c>
      <c r="U135" s="146">
        <v>1921</v>
      </c>
      <c r="V135" s="10">
        <f t="shared" si="22"/>
        <v>24.316455696202532</v>
      </c>
      <c r="W135" s="146">
        <f>989+396+124+396</f>
        <v>1905</v>
      </c>
      <c r="X135" s="146"/>
      <c r="Y135" s="146"/>
      <c r="AB135" s="146">
        <v>16</v>
      </c>
      <c r="AD135" s="146">
        <f t="shared" si="34"/>
        <v>1921</v>
      </c>
      <c r="AF135" s="147">
        <f t="shared" si="46"/>
        <v>0</v>
      </c>
      <c r="AG135">
        <v>0.2</v>
      </c>
      <c r="AH135" s="147">
        <f t="shared" si="37"/>
        <v>13.53461738677772</v>
      </c>
      <c r="AI135" s="146">
        <v>50064</v>
      </c>
      <c r="AK135" s="147">
        <f t="shared" si="43"/>
        <v>0</v>
      </c>
      <c r="AL135" s="6"/>
      <c r="AM135" s="147">
        <f>(+$AB$7*0.001+W7*0.999)+AF135+AK135+AH135</f>
        <v>582.53747177819832</v>
      </c>
      <c r="AN135" s="147">
        <f>+W3</f>
        <v>600.53863999999999</v>
      </c>
      <c r="AO135" s="147">
        <f t="shared" si="41"/>
        <v>18.001168221801663</v>
      </c>
      <c r="AP135" s="231">
        <f t="shared" si="45"/>
        <v>2.3746405979624036E-2</v>
      </c>
      <c r="AQ135" s="12">
        <f t="shared" ref="AQ135:AQ167" si="47">+AO135*AD135</f>
        <v>34580.244154080996</v>
      </c>
      <c r="AR135" t="s">
        <v>459</v>
      </c>
      <c r="AT135" s="237">
        <f t="shared" si="33"/>
        <v>1119054.4832859191</v>
      </c>
      <c r="AU135" s="147">
        <f t="shared" si="36"/>
        <v>26000</v>
      </c>
      <c r="AV135" s="147">
        <f t="shared" si="39"/>
        <v>0</v>
      </c>
    </row>
    <row r="136" spans="3:48" x14ac:dyDescent="0.15">
      <c r="S136" t="s">
        <v>460</v>
      </c>
      <c r="T136" s="146">
        <f>26+13+16</f>
        <v>55</v>
      </c>
      <c r="U136" s="146">
        <v>479</v>
      </c>
      <c r="V136" s="10">
        <f t="shared" si="22"/>
        <v>8.709090909090909</v>
      </c>
      <c r="W136" s="146">
        <f>273+25+25</f>
        <v>323</v>
      </c>
      <c r="X136" s="146"/>
      <c r="Y136" s="146"/>
      <c r="Z136">
        <v>62</v>
      </c>
      <c r="AB136" s="146">
        <f>29+65</f>
        <v>94</v>
      </c>
      <c r="AC136" s="146"/>
      <c r="AD136" s="146">
        <f t="shared" si="34"/>
        <v>479</v>
      </c>
      <c r="AE136">
        <v>0.2</v>
      </c>
      <c r="AF136" s="147">
        <f t="shared" si="46"/>
        <v>54.279749478079331</v>
      </c>
      <c r="AG136">
        <v>0.3</v>
      </c>
      <c r="AH136" s="147">
        <f t="shared" si="37"/>
        <v>81.419624217118994</v>
      </c>
      <c r="AI136" s="146">
        <v>50068</v>
      </c>
      <c r="AK136" s="147">
        <f t="shared" si="43"/>
        <v>0</v>
      </c>
      <c r="AL136" s="6"/>
      <c r="AM136" s="147">
        <f>(+$AB$7*0.2+Z7*0.13+W7*0.67)+AF136+AK136+AH136</f>
        <v>718.76510073932525</v>
      </c>
      <c r="AN136" s="147">
        <f>+AB2*0.2+W3*0.8</f>
        <v>650.43091200000003</v>
      </c>
      <c r="AO136" s="147">
        <f t="shared" si="41"/>
        <v>-68.334188739325214</v>
      </c>
      <c r="AP136" s="231">
        <f t="shared" si="45"/>
        <v>-9.0143671127243155E-2</v>
      </c>
      <c r="AQ136" s="12">
        <f t="shared" si="47"/>
        <v>-32732.076406136777</v>
      </c>
      <c r="AR136" t="s">
        <v>460</v>
      </c>
      <c r="AT136" s="237">
        <f t="shared" ref="AT136:AT167" si="48">+AM136*AD136</f>
        <v>344288.48325413681</v>
      </c>
      <c r="AU136" s="147">
        <f t="shared" si="36"/>
        <v>39000</v>
      </c>
      <c r="AV136" s="147">
        <f t="shared" si="39"/>
        <v>26000</v>
      </c>
    </row>
    <row r="137" spans="3:48" x14ac:dyDescent="0.15">
      <c r="S137" t="s">
        <v>461</v>
      </c>
      <c r="T137" s="146">
        <v>83</v>
      </c>
      <c r="U137" s="146">
        <v>819</v>
      </c>
      <c r="V137" s="10">
        <f t="shared" si="22"/>
        <v>9.8674698795180724</v>
      </c>
      <c r="W137" s="10">
        <v>563</v>
      </c>
      <c r="X137" s="146"/>
      <c r="Y137" s="146">
        <v>84</v>
      </c>
      <c r="Z137" s="146"/>
      <c r="AB137" s="146">
        <f>107+65</f>
        <v>172</v>
      </c>
      <c r="AD137" s="146">
        <f t="shared" si="34"/>
        <v>819</v>
      </c>
      <c r="AE137">
        <v>0.05</v>
      </c>
      <c r="AF137" s="147">
        <f t="shared" si="46"/>
        <v>7.9365079365079367</v>
      </c>
      <c r="AG137" s="59">
        <v>0.3</v>
      </c>
      <c r="AH137" s="147">
        <f t="shared" si="37"/>
        <v>47.61904761904762</v>
      </c>
      <c r="AI137" s="146">
        <v>50068</v>
      </c>
      <c r="AK137" s="147">
        <f t="shared" si="43"/>
        <v>0</v>
      </c>
      <c r="AL137" s="6"/>
      <c r="AM137" s="147">
        <f>(+$AB$7*0.21+W7*0.7+Y7*0.07)++AF137+AK137+AH137</f>
        <v>648.91407015840605</v>
      </c>
      <c r="AN137" s="147">
        <f>+AB2*0.21+W3*0.79</f>
        <v>652.92552560000001</v>
      </c>
      <c r="AO137" s="147">
        <f t="shared" si="41"/>
        <v>4.0114554415939665</v>
      </c>
      <c r="AP137" s="231">
        <f t="shared" si="45"/>
        <v>5.2917481972027478E-3</v>
      </c>
      <c r="AQ137" s="12">
        <f t="shared" si="47"/>
        <v>3285.3820066654584</v>
      </c>
      <c r="AR137" t="s">
        <v>461</v>
      </c>
      <c r="AT137" s="237">
        <f t="shared" si="48"/>
        <v>531460.6234597346</v>
      </c>
      <c r="AU137" s="147">
        <f t="shared" si="36"/>
        <v>39000</v>
      </c>
      <c r="AV137" s="147">
        <f t="shared" si="39"/>
        <v>6500</v>
      </c>
    </row>
    <row r="138" spans="3:48" x14ac:dyDescent="0.15">
      <c r="S138" t="s">
        <v>462</v>
      </c>
      <c r="T138" s="146">
        <f>20+26+33+19</f>
        <v>98</v>
      </c>
      <c r="U138" s="146">
        <v>453</v>
      </c>
      <c r="V138" s="10">
        <f t="shared" si="22"/>
        <v>4.6224489795918364</v>
      </c>
      <c r="W138" s="10"/>
      <c r="X138" s="146"/>
      <c r="Y138" s="146"/>
      <c r="Z138" s="146"/>
      <c r="AB138" s="146">
        <f>65+28+55+65+51+101+37+51</f>
        <v>453</v>
      </c>
      <c r="AD138" s="146">
        <f t="shared" si="34"/>
        <v>453</v>
      </c>
      <c r="AF138" s="147">
        <f t="shared" si="46"/>
        <v>0</v>
      </c>
      <c r="AH138" s="147">
        <f t="shared" si="37"/>
        <v>0</v>
      </c>
      <c r="AI138" s="146"/>
      <c r="AK138" s="147">
        <f t="shared" si="43"/>
        <v>0</v>
      </c>
      <c r="AL138" s="6"/>
      <c r="AM138" s="147">
        <f t="shared" ref="AM138:AM167" si="49">+$AB$7+AF138+AK138+AH138</f>
        <v>731.77662541167183</v>
      </c>
      <c r="AN138" s="147">
        <f>+$AB$2</f>
        <v>850</v>
      </c>
      <c r="AO138" s="147">
        <f t="shared" si="41"/>
        <v>118.22337458832817</v>
      </c>
      <c r="AP138" s="231">
        <f t="shared" si="45"/>
        <v>0.15595544770563946</v>
      </c>
      <c r="AQ138" s="12">
        <f t="shared" si="47"/>
        <v>53555.188688512659</v>
      </c>
      <c r="AR138" t="s">
        <v>462</v>
      </c>
      <c r="AT138" s="237">
        <f t="shared" si="48"/>
        <v>331494.81131148734</v>
      </c>
      <c r="AU138" s="147">
        <f t="shared" si="36"/>
        <v>0</v>
      </c>
      <c r="AV138" s="147">
        <f t="shared" si="39"/>
        <v>0</v>
      </c>
    </row>
    <row r="139" spans="3:48" x14ac:dyDescent="0.15">
      <c r="S139" t="s">
        <v>463</v>
      </c>
      <c r="T139" s="146">
        <v>11.7</v>
      </c>
      <c r="U139" s="146">
        <v>29</v>
      </c>
      <c r="V139" s="146">
        <f t="shared" si="22"/>
        <v>2.4786324786324787</v>
      </c>
      <c r="W139" s="146"/>
      <c r="X139" s="146"/>
      <c r="Y139" s="146"/>
      <c r="Z139" s="146"/>
      <c r="AB139" s="146">
        <v>29</v>
      </c>
      <c r="AD139" s="146">
        <f t="shared" ref="AD139:AD167" si="50">SUM(W139:AC139)</f>
        <v>29</v>
      </c>
      <c r="AF139" s="147">
        <f t="shared" si="46"/>
        <v>0</v>
      </c>
      <c r="AH139" s="147">
        <f t="shared" ref="AH139:AH167" si="51">+AG139*$C$41/AD139</f>
        <v>0</v>
      </c>
      <c r="AI139" s="146"/>
      <c r="AK139" s="147">
        <f t="shared" si="43"/>
        <v>0</v>
      </c>
      <c r="AL139" s="147"/>
      <c r="AM139" s="147">
        <f t="shared" si="49"/>
        <v>731.77662541167183</v>
      </c>
      <c r="AN139" s="147">
        <f>+$AB$2</f>
        <v>850</v>
      </c>
      <c r="AO139" s="147">
        <f t="shared" si="41"/>
        <v>118.22337458832817</v>
      </c>
      <c r="AP139" s="5">
        <f>+(AO139)/AB$3</f>
        <v>0.12322494596112429</v>
      </c>
      <c r="AQ139" s="12">
        <f t="shared" si="47"/>
        <v>3428.4778630615169</v>
      </c>
      <c r="AR139" t="s">
        <v>463</v>
      </c>
      <c r="AT139" s="237">
        <f t="shared" si="48"/>
        <v>21221.522136938482</v>
      </c>
      <c r="AU139" s="147">
        <f t="shared" ref="AU139:AU157" si="52">+AH139*AD139</f>
        <v>0</v>
      </c>
      <c r="AV139" s="147">
        <f t="shared" ref="AV139:AV167" si="53">+AF139*AD139</f>
        <v>0</v>
      </c>
    </row>
    <row r="140" spans="3:48" x14ac:dyDescent="0.15">
      <c r="S140" t="s">
        <v>464</v>
      </c>
      <c r="T140" s="146">
        <f>39+23</f>
        <v>62</v>
      </c>
      <c r="U140" s="146">
        <v>454</v>
      </c>
      <c r="V140" s="146">
        <f t="shared" si="22"/>
        <v>7.32258064516129</v>
      </c>
      <c r="W140" s="146">
        <v>223</v>
      </c>
      <c r="X140" s="146"/>
      <c r="Y140" s="146"/>
      <c r="Z140" s="146"/>
      <c r="AB140" s="146">
        <f>192+39</f>
        <v>231</v>
      </c>
      <c r="AD140" s="146">
        <f t="shared" si="50"/>
        <v>454</v>
      </c>
      <c r="AE140">
        <v>0.5</v>
      </c>
      <c r="AF140" s="147">
        <f t="shared" si="46"/>
        <v>143.17180616740089</v>
      </c>
      <c r="AH140" s="147">
        <f t="shared" si="51"/>
        <v>0</v>
      </c>
      <c r="AI140" s="146"/>
      <c r="AK140" s="147">
        <f t="shared" si="43"/>
        <v>0</v>
      </c>
      <c r="AL140" s="147"/>
      <c r="AM140" s="147">
        <f>(+$AB$7*0.5+W7*0.5)+AF140+AK140+AH140</f>
        <v>793.48007771508298</v>
      </c>
      <c r="AN140" s="147">
        <f>+AB2*0.5+W3*0.5</f>
        <v>725.26931999999999</v>
      </c>
      <c r="AO140" s="147">
        <f t="shared" si="41"/>
        <v>-68.210757715082991</v>
      </c>
      <c r="AP140" s="5">
        <f t="shared" ref="AP140:AP167" si="54">+(AO140)/AB$3</f>
        <v>-7.1096489697378931E-2</v>
      </c>
      <c r="AQ140" s="12">
        <f t="shared" si="47"/>
        <v>-30967.684002647678</v>
      </c>
      <c r="AR140" t="s">
        <v>464</v>
      </c>
      <c r="AT140" s="237">
        <f t="shared" si="48"/>
        <v>360239.95528264769</v>
      </c>
      <c r="AU140" s="147">
        <f t="shared" si="52"/>
        <v>0</v>
      </c>
      <c r="AV140" s="147">
        <f t="shared" si="53"/>
        <v>65000</v>
      </c>
    </row>
    <row r="141" spans="3:48" x14ac:dyDescent="0.15">
      <c r="S141" t="s">
        <v>465</v>
      </c>
      <c r="T141" s="146">
        <v>5.3506840000000002</v>
      </c>
      <c r="U141" s="146">
        <v>68</v>
      </c>
      <c r="V141" s="146">
        <f t="shared" si="22"/>
        <v>12.708655566279003</v>
      </c>
      <c r="W141" s="146"/>
      <c r="X141" s="146"/>
      <c r="Y141" s="146"/>
      <c r="Z141" s="146"/>
      <c r="AB141" s="146">
        <v>68</v>
      </c>
      <c r="AD141" s="146">
        <f t="shared" si="50"/>
        <v>68</v>
      </c>
      <c r="AE141" s="59"/>
      <c r="AF141" s="147">
        <f t="shared" si="46"/>
        <v>0</v>
      </c>
      <c r="AG141">
        <v>0.1</v>
      </c>
      <c r="AH141" s="147">
        <f t="shared" si="51"/>
        <v>191.1764705882353</v>
      </c>
      <c r="AI141" s="146">
        <v>6275</v>
      </c>
      <c r="AK141" s="147">
        <f t="shared" si="43"/>
        <v>0</v>
      </c>
      <c r="AL141" s="147"/>
      <c r="AM141" s="147">
        <f t="shared" si="49"/>
        <v>922.95309599990719</v>
      </c>
      <c r="AN141" s="147">
        <f>+$AB$2</f>
        <v>850</v>
      </c>
      <c r="AO141" s="147">
        <f t="shared" si="41"/>
        <v>-72.953095999907191</v>
      </c>
      <c r="AP141" s="5">
        <f t="shared" si="54"/>
        <v>-7.6039457878685823E-2</v>
      </c>
      <c r="AQ141" s="12">
        <f t="shared" si="47"/>
        <v>-4960.810527993689</v>
      </c>
      <c r="AR141" t="s">
        <v>465</v>
      </c>
      <c r="AT141" s="237">
        <f t="shared" si="48"/>
        <v>62760.810527993686</v>
      </c>
      <c r="AU141" s="147">
        <f t="shared" si="52"/>
        <v>13000</v>
      </c>
      <c r="AV141" s="147">
        <f t="shared" si="53"/>
        <v>0</v>
      </c>
    </row>
    <row r="142" spans="3:48" x14ac:dyDescent="0.15">
      <c r="S142" t="s">
        <v>466</v>
      </c>
      <c r="T142" s="146">
        <f>41+13</f>
        <v>54</v>
      </c>
      <c r="U142" s="146">
        <v>232</v>
      </c>
      <c r="V142" s="146">
        <f t="shared" ref="V142:V169" si="55">+U142/T142</f>
        <v>4.2962962962962967</v>
      </c>
      <c r="W142" s="146">
        <f>44+70</f>
        <v>114</v>
      </c>
      <c r="X142" s="146"/>
      <c r="Y142" s="146"/>
      <c r="Z142" s="146"/>
      <c r="AB142" s="146">
        <f>357*0.33</f>
        <v>117.81</v>
      </c>
      <c r="AD142" s="146">
        <f t="shared" si="50"/>
        <v>231.81</v>
      </c>
      <c r="AE142" s="59">
        <v>0.2</v>
      </c>
      <c r="AF142" s="147">
        <f t="shared" si="46"/>
        <v>112.16082136232259</v>
      </c>
      <c r="AG142">
        <v>0.1</v>
      </c>
      <c r="AH142" s="147">
        <f t="shared" si="51"/>
        <v>56.080410681161297</v>
      </c>
      <c r="AI142" s="146">
        <v>6275</v>
      </c>
      <c r="AK142" s="147">
        <f t="shared" si="43"/>
        <v>0</v>
      </c>
      <c r="AL142" s="147"/>
      <c r="AM142" s="147">
        <f>(+$AB$7*0.5+W7*0.5)+AF142+AK142+AH142</f>
        <v>818.54950359116606</v>
      </c>
      <c r="AN142" s="147">
        <f>+AB2*0.5+W3*0.5</f>
        <v>725.26931999999999</v>
      </c>
      <c r="AO142" s="147">
        <f t="shared" si="41"/>
        <v>-93.280183591166065</v>
      </c>
      <c r="AP142" s="5">
        <f t="shared" si="54"/>
        <v>-9.7226505522199858E-2</v>
      </c>
      <c r="AQ142" s="12">
        <f t="shared" si="47"/>
        <v>-21623.279358268206</v>
      </c>
      <c r="AR142" t="s">
        <v>466</v>
      </c>
      <c r="AT142" s="237">
        <f t="shared" si="48"/>
        <v>189747.96042746821</v>
      </c>
      <c r="AU142" s="147">
        <f t="shared" si="52"/>
        <v>13000</v>
      </c>
      <c r="AV142" s="147">
        <f t="shared" si="53"/>
        <v>26000</v>
      </c>
    </row>
    <row r="143" spans="3:48" x14ac:dyDescent="0.15">
      <c r="S143" t="s">
        <v>467</v>
      </c>
      <c r="T143" s="146">
        <v>4.8539690000000002</v>
      </c>
      <c r="U143" s="146">
        <v>15</v>
      </c>
      <c r="V143" s="146">
        <f t="shared" si="55"/>
        <v>3.0902545937149575</v>
      </c>
      <c r="W143" s="146"/>
      <c r="X143" s="146"/>
      <c r="Y143" s="146"/>
      <c r="Z143" s="146">
        <v>15</v>
      </c>
      <c r="AB143" s="146"/>
      <c r="AD143" s="146">
        <f t="shared" si="50"/>
        <v>15</v>
      </c>
      <c r="AE143" s="59">
        <v>0.2</v>
      </c>
      <c r="AF143" s="147">
        <f t="shared" si="46"/>
        <v>1733.3333333333333</v>
      </c>
      <c r="AG143">
        <v>0.1</v>
      </c>
      <c r="AH143" s="147">
        <f t="shared" si="51"/>
        <v>866.66666666666663</v>
      </c>
      <c r="AI143" s="146">
        <v>6275</v>
      </c>
      <c r="AK143" s="147">
        <f t="shared" si="43"/>
        <v>0</v>
      </c>
      <c r="AL143" s="147"/>
      <c r="AM143" s="147">
        <f>+$Z$7+AF143+AK143+AH143</f>
        <v>3027.5973624132189</v>
      </c>
      <c r="AN143" s="147">
        <f>+Z3</f>
        <v>600.53863999999999</v>
      </c>
      <c r="AO143" s="147">
        <f t="shared" si="41"/>
        <v>-2427.0587224132187</v>
      </c>
      <c r="AP143" s="5">
        <f t="shared" si="54"/>
        <v>-2.5297381415076856</v>
      </c>
      <c r="AQ143" s="12">
        <f t="shared" si="47"/>
        <v>-36405.880836198281</v>
      </c>
      <c r="AR143" t="s">
        <v>467</v>
      </c>
      <c r="AT143" s="237">
        <f t="shared" si="48"/>
        <v>45413.960436198286</v>
      </c>
      <c r="AU143" s="147">
        <f t="shared" si="52"/>
        <v>13000</v>
      </c>
      <c r="AV143" s="147">
        <f t="shared" si="53"/>
        <v>26000</v>
      </c>
    </row>
    <row r="144" spans="3:48" x14ac:dyDescent="0.15">
      <c r="S144" t="s">
        <v>468</v>
      </c>
      <c r="T144" s="146">
        <v>7.7848379999999997</v>
      </c>
      <c r="U144" s="146">
        <v>19</v>
      </c>
      <c r="V144" s="146">
        <f t="shared" si="55"/>
        <v>2.4406416678163376</v>
      </c>
      <c r="W144" s="146"/>
      <c r="X144" s="146"/>
      <c r="Y144" s="146"/>
      <c r="Z144" s="146"/>
      <c r="AB144" s="146">
        <v>19</v>
      </c>
      <c r="AD144" s="146">
        <f t="shared" si="50"/>
        <v>19</v>
      </c>
      <c r="AE144" s="59"/>
      <c r="AF144" s="147">
        <f t="shared" si="46"/>
        <v>0</v>
      </c>
      <c r="AH144" s="147">
        <f t="shared" si="51"/>
        <v>0</v>
      </c>
      <c r="AI144" s="146"/>
      <c r="AK144" s="147">
        <f t="shared" si="43"/>
        <v>0</v>
      </c>
      <c r="AL144" s="147"/>
      <c r="AM144" s="147">
        <f t="shared" si="49"/>
        <v>731.77662541167183</v>
      </c>
      <c r="AN144" s="147">
        <f>+$AB$2</f>
        <v>850</v>
      </c>
      <c r="AO144" s="147">
        <f t="shared" si="41"/>
        <v>118.22337458832817</v>
      </c>
      <c r="AP144" s="5">
        <f t="shared" si="54"/>
        <v>0.12322494596112429</v>
      </c>
      <c r="AQ144" s="12">
        <f t="shared" si="47"/>
        <v>2246.2441171782352</v>
      </c>
      <c r="AR144" t="s">
        <v>468</v>
      </c>
      <c r="AT144" s="237">
        <f t="shared" si="48"/>
        <v>13903.755882821764</v>
      </c>
      <c r="AU144" s="147">
        <f t="shared" si="52"/>
        <v>0</v>
      </c>
      <c r="AV144" s="147">
        <f t="shared" si="53"/>
        <v>0</v>
      </c>
    </row>
    <row r="145" spans="2:48" x14ac:dyDescent="0.15">
      <c r="S145" t="s">
        <v>469</v>
      </c>
      <c r="T145" s="146">
        <v>18</v>
      </c>
      <c r="U145" s="146">
        <v>358</v>
      </c>
      <c r="V145" s="146">
        <f t="shared" si="55"/>
        <v>19.888888888888889</v>
      </c>
      <c r="W145" s="146"/>
      <c r="X145" s="146"/>
      <c r="Y145" s="146"/>
      <c r="Z145" s="146">
        <v>318</v>
      </c>
      <c r="AB145" s="146">
        <v>40</v>
      </c>
      <c r="AD145" s="146">
        <f t="shared" si="50"/>
        <v>358</v>
      </c>
      <c r="AE145" s="59"/>
      <c r="AF145" s="147">
        <f t="shared" si="46"/>
        <v>0</v>
      </c>
      <c r="AH145" s="147">
        <f t="shared" si="51"/>
        <v>0</v>
      </c>
      <c r="AI145" s="146"/>
      <c r="AK145" s="147">
        <f t="shared" si="43"/>
        <v>0</v>
      </c>
      <c r="AL145" s="147"/>
      <c r="AM145" s="147">
        <f>(+$AB$7*0.09+Z7*0.91)+AF145+AK145+AH145</f>
        <v>454.97349608307974</v>
      </c>
      <c r="AN145" s="147">
        <f>+AB2*0.09+Z3*0.91</f>
        <v>622.99016240000003</v>
      </c>
      <c r="AO145" s="147">
        <f t="shared" si="41"/>
        <v>168.01666631692029</v>
      </c>
      <c r="AP145" s="5">
        <f t="shared" si="54"/>
        <v>0.17512479828599634</v>
      </c>
      <c r="AQ145" s="12">
        <f t="shared" si="47"/>
        <v>60149.966541457463</v>
      </c>
      <c r="AR145" t="s">
        <v>469</v>
      </c>
      <c r="AT145" s="237">
        <f t="shared" si="48"/>
        <v>162880.51159774256</v>
      </c>
      <c r="AU145" s="147">
        <f t="shared" si="52"/>
        <v>0</v>
      </c>
      <c r="AV145" s="147">
        <f t="shared" si="53"/>
        <v>0</v>
      </c>
    </row>
    <row r="146" spans="2:48" x14ac:dyDescent="0.15">
      <c r="S146" t="s">
        <v>470</v>
      </c>
      <c r="T146" s="146">
        <v>8</v>
      </c>
      <c r="U146" s="146">
        <v>94</v>
      </c>
      <c r="V146" s="146">
        <f t="shared" si="55"/>
        <v>11.75</v>
      </c>
      <c r="X146" s="146"/>
      <c r="Y146" s="146"/>
      <c r="Z146" s="146"/>
      <c r="AB146" s="146">
        <f>+U146*$T$3</f>
        <v>31.020000000000003</v>
      </c>
      <c r="AD146" s="146">
        <f t="shared" si="50"/>
        <v>31.020000000000003</v>
      </c>
      <c r="AE146" s="59"/>
      <c r="AF146" s="147">
        <f t="shared" si="46"/>
        <v>0</v>
      </c>
      <c r="AG146" s="59"/>
      <c r="AH146" s="147">
        <f t="shared" si="51"/>
        <v>0</v>
      </c>
      <c r="AI146" s="146"/>
      <c r="AK146" s="147">
        <f t="shared" si="43"/>
        <v>0</v>
      </c>
      <c r="AL146" s="147"/>
      <c r="AM146" s="147">
        <f t="shared" si="49"/>
        <v>731.77662541167183</v>
      </c>
      <c r="AN146" s="147">
        <f>+AB2</f>
        <v>850</v>
      </c>
      <c r="AO146" s="147">
        <f t="shared" si="41"/>
        <v>118.22337458832817</v>
      </c>
      <c r="AP146" s="5">
        <f t="shared" si="54"/>
        <v>0.12322494596112429</v>
      </c>
      <c r="AQ146" s="12">
        <f t="shared" si="47"/>
        <v>3667.2890797299401</v>
      </c>
      <c r="AR146" t="s">
        <v>470</v>
      </c>
      <c r="AT146" s="237">
        <f t="shared" si="48"/>
        <v>22699.710920270063</v>
      </c>
      <c r="AU146" s="147">
        <f t="shared" si="52"/>
        <v>0</v>
      </c>
      <c r="AV146" s="147">
        <f t="shared" si="53"/>
        <v>0</v>
      </c>
    </row>
    <row r="147" spans="2:48" x14ac:dyDescent="0.15">
      <c r="S147" t="s">
        <v>471</v>
      </c>
      <c r="T147" s="146">
        <v>29</v>
      </c>
      <c r="U147" s="146">
        <v>362</v>
      </c>
      <c r="V147" s="146">
        <f t="shared" si="55"/>
        <v>12.482758620689655</v>
      </c>
      <c r="W147" s="146">
        <v>362</v>
      </c>
      <c r="X147" s="146"/>
      <c r="Y147" s="146"/>
      <c r="Z147" s="146"/>
      <c r="AB147" s="146"/>
      <c r="AD147" s="146">
        <f t="shared" si="50"/>
        <v>362</v>
      </c>
      <c r="AE147" s="59">
        <v>0.2</v>
      </c>
      <c r="AF147" s="147">
        <f t="shared" si="46"/>
        <v>71.823204419889507</v>
      </c>
      <c r="AH147" s="147">
        <f t="shared" si="51"/>
        <v>0</v>
      </c>
      <c r="AI147" s="146"/>
      <c r="AK147" s="147">
        <f t="shared" si="43"/>
        <v>0</v>
      </c>
      <c r="AL147" s="147"/>
      <c r="AM147" s="147">
        <f>+$W$7+AF147+AK147+AH147</f>
        <v>640.66312210358205</v>
      </c>
      <c r="AN147" s="147">
        <f>+W3</f>
        <v>600.53863999999999</v>
      </c>
      <c r="AO147" s="147">
        <f t="shared" si="41"/>
        <v>-40.124482103582068</v>
      </c>
      <c r="AP147" s="5">
        <f t="shared" si="54"/>
        <v>-4.1821992953161212E-2</v>
      </c>
      <c r="AQ147" s="12">
        <f t="shared" si="47"/>
        <v>-14525.062521496708</v>
      </c>
      <c r="AR147" t="s">
        <v>471</v>
      </c>
      <c r="AT147" s="237">
        <f t="shared" si="48"/>
        <v>231920.05020149669</v>
      </c>
      <c r="AU147" s="147">
        <f t="shared" si="52"/>
        <v>0</v>
      </c>
      <c r="AV147" s="147">
        <f t="shared" si="53"/>
        <v>26000</v>
      </c>
    </row>
    <row r="148" spans="2:48" x14ac:dyDescent="0.15">
      <c r="S148" t="s">
        <v>472</v>
      </c>
      <c r="T148" s="146">
        <v>28.141044999999998</v>
      </c>
      <c r="U148" s="146">
        <v>218</v>
      </c>
      <c r="V148" s="146">
        <f t="shared" si="55"/>
        <v>7.7466917095651571</v>
      </c>
      <c r="W148" s="146"/>
      <c r="X148" s="146"/>
      <c r="Y148" s="146"/>
      <c r="Z148" s="146"/>
      <c r="AB148" s="146">
        <v>218</v>
      </c>
      <c r="AD148" s="146">
        <f t="shared" si="50"/>
        <v>218</v>
      </c>
      <c r="AE148" s="59"/>
      <c r="AF148" s="147">
        <f t="shared" si="46"/>
        <v>0</v>
      </c>
      <c r="AH148" s="147">
        <f t="shared" si="51"/>
        <v>0</v>
      </c>
      <c r="AI148" s="147"/>
      <c r="AK148" s="147">
        <f t="shared" si="43"/>
        <v>0</v>
      </c>
      <c r="AL148" s="147"/>
      <c r="AM148" s="147">
        <f t="shared" si="49"/>
        <v>731.77662541167183</v>
      </c>
      <c r="AN148" s="147">
        <f>+$AB$2</f>
        <v>850</v>
      </c>
      <c r="AO148" s="147">
        <f t="shared" si="41"/>
        <v>118.22337458832817</v>
      </c>
      <c r="AP148" s="5">
        <f t="shared" si="54"/>
        <v>0.12322494596112429</v>
      </c>
      <c r="AQ148" s="12">
        <f t="shared" si="47"/>
        <v>25772.69566025554</v>
      </c>
      <c r="AR148" t="s">
        <v>472</v>
      </c>
      <c r="AT148" s="237">
        <f t="shared" si="48"/>
        <v>159527.30433974447</v>
      </c>
      <c r="AU148" s="147">
        <f t="shared" si="52"/>
        <v>0</v>
      </c>
      <c r="AV148" s="147">
        <f t="shared" si="53"/>
        <v>0</v>
      </c>
    </row>
    <row r="149" spans="2:48" x14ac:dyDescent="0.15">
      <c r="S149" t="s">
        <v>473</v>
      </c>
      <c r="T149" s="146">
        <v>4.7830729999999999</v>
      </c>
      <c r="U149" s="146">
        <v>22</v>
      </c>
      <c r="V149" s="146">
        <f t="shared" si="55"/>
        <v>4.5995534669866007</v>
      </c>
      <c r="W149" s="146"/>
      <c r="X149" s="146"/>
      <c r="Y149" s="146"/>
      <c r="Z149" s="146"/>
      <c r="AB149" s="146">
        <v>22</v>
      </c>
      <c r="AD149" s="146">
        <f t="shared" si="50"/>
        <v>22</v>
      </c>
      <c r="AE149" s="59"/>
      <c r="AF149" s="147">
        <f t="shared" si="46"/>
        <v>0</v>
      </c>
      <c r="AH149" s="147">
        <f t="shared" si="51"/>
        <v>0</v>
      </c>
      <c r="AI149" s="147"/>
      <c r="AK149" s="147">
        <f t="shared" si="43"/>
        <v>0</v>
      </c>
      <c r="AL149" s="147"/>
      <c r="AM149" s="147">
        <f t="shared" si="49"/>
        <v>731.77662541167183</v>
      </c>
      <c r="AN149" s="147">
        <f t="shared" ref="AN149:AN155" si="56">+$AB$2</f>
        <v>850</v>
      </c>
      <c r="AO149" s="147">
        <f t="shared" si="41"/>
        <v>118.22337458832817</v>
      </c>
      <c r="AP149" s="5">
        <f t="shared" si="54"/>
        <v>0.12322494596112429</v>
      </c>
      <c r="AQ149" s="12">
        <f t="shared" si="47"/>
        <v>2600.9142409432197</v>
      </c>
      <c r="AR149" t="s">
        <v>473</v>
      </c>
      <c r="AT149" s="237">
        <f t="shared" si="48"/>
        <v>16099.085759056779</v>
      </c>
      <c r="AU149" s="147">
        <f t="shared" si="52"/>
        <v>0</v>
      </c>
      <c r="AV149" s="147">
        <f t="shared" si="53"/>
        <v>0</v>
      </c>
    </row>
    <row r="150" spans="2:48" x14ac:dyDescent="0.15">
      <c r="S150" t="s">
        <v>474</v>
      </c>
      <c r="T150" s="146">
        <v>61.813440999999997</v>
      </c>
      <c r="U150" s="146">
        <v>278</v>
      </c>
      <c r="V150" s="146">
        <f t="shared" si="55"/>
        <v>4.4974037280985542</v>
      </c>
      <c r="W150" s="146"/>
      <c r="X150" s="146"/>
      <c r="Y150" s="146"/>
      <c r="Z150" s="146"/>
      <c r="AB150" s="146">
        <f>58+166+54</f>
        <v>278</v>
      </c>
      <c r="AD150" s="146">
        <f t="shared" si="50"/>
        <v>278</v>
      </c>
      <c r="AE150" s="59"/>
      <c r="AF150" s="147">
        <f t="shared" si="46"/>
        <v>0</v>
      </c>
      <c r="AH150" s="147">
        <f t="shared" si="51"/>
        <v>0</v>
      </c>
      <c r="AI150" s="147"/>
      <c r="AK150" s="147">
        <f t="shared" si="43"/>
        <v>0</v>
      </c>
      <c r="AL150" s="147"/>
      <c r="AM150" s="147">
        <f t="shared" si="49"/>
        <v>731.77662541167183</v>
      </c>
      <c r="AN150" s="147">
        <f t="shared" si="56"/>
        <v>850</v>
      </c>
      <c r="AO150" s="147">
        <f t="shared" si="41"/>
        <v>118.22337458832817</v>
      </c>
      <c r="AP150" s="5">
        <f t="shared" si="54"/>
        <v>0.12322494596112429</v>
      </c>
      <c r="AQ150" s="12">
        <f t="shared" si="47"/>
        <v>32866.098135555229</v>
      </c>
      <c r="AR150" t="s">
        <v>474</v>
      </c>
      <c r="AT150" s="237">
        <f t="shared" si="48"/>
        <v>203433.90186444478</v>
      </c>
      <c r="AU150" s="147">
        <f t="shared" si="52"/>
        <v>0</v>
      </c>
      <c r="AV150" s="147">
        <f t="shared" si="53"/>
        <v>0</v>
      </c>
    </row>
    <row r="151" spans="2:48" x14ac:dyDescent="0.15">
      <c r="S151" t="s">
        <v>475</v>
      </c>
      <c r="T151" s="146">
        <v>32.135604000000001</v>
      </c>
      <c r="U151" s="146">
        <v>93</v>
      </c>
      <c r="V151" s="146">
        <f t="shared" si="55"/>
        <v>2.8939863710045719</v>
      </c>
      <c r="W151" s="146"/>
      <c r="X151" s="146"/>
      <c r="Y151" s="146"/>
      <c r="Z151" s="146"/>
      <c r="AB151" s="146">
        <f>55+18+20</f>
        <v>93</v>
      </c>
      <c r="AD151" s="146">
        <f t="shared" si="50"/>
        <v>93</v>
      </c>
      <c r="AE151" s="59"/>
      <c r="AF151" s="147">
        <f t="shared" si="46"/>
        <v>0</v>
      </c>
      <c r="AH151" s="147">
        <f t="shared" si="51"/>
        <v>0</v>
      </c>
      <c r="AI151" s="146"/>
      <c r="AK151" s="147">
        <f t="shared" si="43"/>
        <v>0</v>
      </c>
      <c r="AL151" s="147"/>
      <c r="AM151" s="147">
        <f t="shared" si="49"/>
        <v>731.77662541167183</v>
      </c>
      <c r="AN151" s="147">
        <f t="shared" si="56"/>
        <v>850</v>
      </c>
      <c r="AO151" s="147">
        <f t="shared" si="41"/>
        <v>118.22337458832817</v>
      </c>
      <c r="AP151" s="5">
        <f t="shared" si="54"/>
        <v>0.12322494596112429</v>
      </c>
      <c r="AQ151" s="12">
        <f t="shared" si="47"/>
        <v>10994.773836714519</v>
      </c>
      <c r="AR151" t="s">
        <v>475</v>
      </c>
      <c r="AT151" s="237">
        <f t="shared" si="48"/>
        <v>68055.226163285479</v>
      </c>
      <c r="AU151" s="147">
        <f t="shared" si="52"/>
        <v>0</v>
      </c>
      <c r="AV151" s="147">
        <f t="shared" si="53"/>
        <v>0</v>
      </c>
    </row>
    <row r="152" spans="2:48" x14ac:dyDescent="0.15">
      <c r="S152" t="s">
        <v>476</v>
      </c>
      <c r="T152" s="146">
        <v>6.4524439999999998</v>
      </c>
      <c r="U152" s="146">
        <v>12</v>
      </c>
      <c r="V152" s="146">
        <f t="shared" si="55"/>
        <v>1.8597604256619662</v>
      </c>
      <c r="W152" s="146"/>
      <c r="X152" s="146"/>
      <c r="Y152" s="146"/>
      <c r="Z152" s="146"/>
      <c r="AB152" s="146">
        <v>12</v>
      </c>
      <c r="AD152" s="146">
        <f t="shared" si="50"/>
        <v>12</v>
      </c>
      <c r="AE152" s="59"/>
      <c r="AF152" s="147">
        <f t="shared" si="46"/>
        <v>0</v>
      </c>
      <c r="AH152" s="147">
        <f t="shared" si="51"/>
        <v>0</v>
      </c>
      <c r="AI152" s="146"/>
      <c r="AK152" s="147">
        <f t="shared" si="43"/>
        <v>0</v>
      </c>
      <c r="AL152" s="147"/>
      <c r="AM152" s="147">
        <f t="shared" si="49"/>
        <v>731.77662541167183</v>
      </c>
      <c r="AN152" s="147">
        <f t="shared" si="56"/>
        <v>850</v>
      </c>
      <c r="AO152" s="147">
        <f t="shared" si="41"/>
        <v>118.22337458832817</v>
      </c>
      <c r="AP152" s="231">
        <f t="shared" si="54"/>
        <v>0.12322494596112429</v>
      </c>
      <c r="AQ152" s="12">
        <f t="shared" si="47"/>
        <v>1418.680495059938</v>
      </c>
      <c r="AR152" t="s">
        <v>476</v>
      </c>
      <c r="AT152" s="237">
        <f t="shared" si="48"/>
        <v>8781.319504940062</v>
      </c>
      <c r="AU152" s="147">
        <f t="shared" si="52"/>
        <v>0</v>
      </c>
      <c r="AV152" s="147">
        <f t="shared" si="53"/>
        <v>0</v>
      </c>
    </row>
    <row r="153" spans="2:48" x14ac:dyDescent="0.15">
      <c r="S153" t="s">
        <v>490</v>
      </c>
      <c r="T153" s="146">
        <v>17</v>
      </c>
      <c r="U153" s="146">
        <v>66</v>
      </c>
      <c r="V153" s="146">
        <f t="shared" si="55"/>
        <v>3.8823529411764706</v>
      </c>
      <c r="W153" s="146"/>
      <c r="X153" s="146"/>
      <c r="Y153" s="146"/>
      <c r="Z153" s="146"/>
      <c r="AB153" s="146">
        <v>66</v>
      </c>
      <c r="AD153" s="146">
        <f t="shared" si="50"/>
        <v>66</v>
      </c>
      <c r="AE153" s="59"/>
      <c r="AF153" s="147">
        <f t="shared" si="46"/>
        <v>0</v>
      </c>
      <c r="AH153" s="147">
        <f t="shared" si="51"/>
        <v>0</v>
      </c>
      <c r="AI153" s="146"/>
      <c r="AK153" s="147">
        <f t="shared" si="43"/>
        <v>0</v>
      </c>
      <c r="AL153" s="147"/>
      <c r="AM153" s="147">
        <f t="shared" si="49"/>
        <v>731.77662541167183</v>
      </c>
      <c r="AN153" s="147">
        <f t="shared" si="56"/>
        <v>850</v>
      </c>
      <c r="AO153" s="147">
        <f t="shared" si="41"/>
        <v>118.22337458832817</v>
      </c>
      <c r="AP153" s="231">
        <f t="shared" si="54"/>
        <v>0.12322494596112429</v>
      </c>
      <c r="AQ153" s="12">
        <f t="shared" si="47"/>
        <v>7802.7427228296592</v>
      </c>
      <c r="AR153" t="s">
        <v>502</v>
      </c>
      <c r="AT153" s="237">
        <f t="shared" si="48"/>
        <v>48297.257277170342</v>
      </c>
      <c r="AU153" s="147">
        <f t="shared" si="52"/>
        <v>0</v>
      </c>
      <c r="AV153" s="147">
        <f t="shared" si="53"/>
        <v>0</v>
      </c>
    </row>
    <row r="154" spans="2:48" x14ac:dyDescent="0.15">
      <c r="S154" t="s">
        <v>491</v>
      </c>
      <c r="T154" s="146">
        <v>11</v>
      </c>
      <c r="U154" s="146">
        <v>38</v>
      </c>
      <c r="V154" s="146">
        <f t="shared" si="55"/>
        <v>3.4545454545454546</v>
      </c>
      <c r="W154" s="146"/>
      <c r="X154" s="146"/>
      <c r="Y154" s="146"/>
      <c r="Z154" s="146"/>
      <c r="AB154" s="146">
        <v>38</v>
      </c>
      <c r="AD154" s="146">
        <f t="shared" si="50"/>
        <v>38</v>
      </c>
      <c r="AE154" s="59"/>
      <c r="AF154" s="147">
        <f t="shared" si="46"/>
        <v>0</v>
      </c>
      <c r="AH154" s="147">
        <f t="shared" si="51"/>
        <v>0</v>
      </c>
      <c r="AI154" s="146"/>
      <c r="AK154" s="147">
        <f t="shared" si="43"/>
        <v>0</v>
      </c>
      <c r="AL154" s="147"/>
      <c r="AM154" s="147">
        <f t="shared" si="49"/>
        <v>731.77662541167183</v>
      </c>
      <c r="AN154" s="147">
        <f t="shared" si="56"/>
        <v>850</v>
      </c>
      <c r="AO154" s="147">
        <f t="shared" si="41"/>
        <v>118.22337458832817</v>
      </c>
      <c r="AP154" s="231">
        <f t="shared" si="54"/>
        <v>0.12322494596112429</v>
      </c>
      <c r="AQ154" s="12">
        <f t="shared" si="47"/>
        <v>4492.4882343564705</v>
      </c>
      <c r="AR154" t="s">
        <v>491</v>
      </c>
      <c r="AT154" s="237">
        <f t="shared" si="48"/>
        <v>27807.511765643529</v>
      </c>
      <c r="AU154" s="147"/>
      <c r="AV154" s="147">
        <f t="shared" si="53"/>
        <v>0</v>
      </c>
    </row>
    <row r="155" spans="2:48" x14ac:dyDescent="0.15">
      <c r="S155" t="s">
        <v>492</v>
      </c>
      <c r="T155" s="146">
        <v>14</v>
      </c>
      <c r="U155" s="146">
        <v>60</v>
      </c>
      <c r="V155" s="146">
        <f t="shared" si="55"/>
        <v>4.2857142857142856</v>
      </c>
      <c r="W155" s="146"/>
      <c r="X155" s="146"/>
      <c r="Y155" s="146"/>
      <c r="Z155" s="146"/>
      <c r="AB155" s="146">
        <v>60</v>
      </c>
      <c r="AD155" s="146">
        <f t="shared" si="50"/>
        <v>60</v>
      </c>
      <c r="AE155" s="59"/>
      <c r="AF155" s="147">
        <f t="shared" si="46"/>
        <v>0</v>
      </c>
      <c r="AG155">
        <v>0.5</v>
      </c>
      <c r="AH155" s="147">
        <f t="shared" si="51"/>
        <v>1083.3333333333333</v>
      </c>
      <c r="AI155" s="146">
        <v>50081</v>
      </c>
      <c r="AK155" s="147">
        <f t="shared" si="43"/>
        <v>0</v>
      </c>
      <c r="AL155" s="147"/>
      <c r="AM155" s="147">
        <f t="shared" si="49"/>
        <v>1815.1099587450051</v>
      </c>
      <c r="AN155" s="147">
        <f t="shared" si="56"/>
        <v>850</v>
      </c>
      <c r="AO155" s="147">
        <f t="shared" si="41"/>
        <v>-965.10995874500509</v>
      </c>
      <c r="AP155" s="231">
        <f t="shared" si="54"/>
        <v>-1.0059400091311326</v>
      </c>
      <c r="AQ155" s="12">
        <f t="shared" si="47"/>
        <v>-57906.597524700308</v>
      </c>
      <c r="AR155" t="s">
        <v>492</v>
      </c>
      <c r="AT155" s="237">
        <f t="shared" si="48"/>
        <v>108906.59752470031</v>
      </c>
      <c r="AU155" s="147"/>
      <c r="AV155" s="147">
        <f t="shared" si="53"/>
        <v>0</v>
      </c>
    </row>
    <row r="156" spans="2:48" x14ac:dyDescent="0.15">
      <c r="S156" t="s">
        <v>477</v>
      </c>
      <c r="T156" s="146">
        <f>11+22+29+5</f>
        <v>67</v>
      </c>
      <c r="U156" s="146">
        <v>805</v>
      </c>
      <c r="V156" s="146">
        <f t="shared" si="55"/>
        <v>12.014925373134329</v>
      </c>
      <c r="W156" s="146">
        <v>401</v>
      </c>
      <c r="X156" s="146"/>
      <c r="Y156" s="146"/>
      <c r="Z156" s="146">
        <v>200</v>
      </c>
      <c r="AB156" s="146">
        <f>174+30</f>
        <v>204</v>
      </c>
      <c r="AD156" s="146">
        <f t="shared" si="50"/>
        <v>805</v>
      </c>
      <c r="AE156" s="59"/>
      <c r="AF156" s="147">
        <f t="shared" si="46"/>
        <v>0</v>
      </c>
      <c r="AG156">
        <v>0.5</v>
      </c>
      <c r="AH156" s="147">
        <f t="shared" si="51"/>
        <v>80.745341614906835</v>
      </c>
      <c r="AI156" s="146">
        <v>50081</v>
      </c>
      <c r="AK156" s="147">
        <f t="shared" si="43"/>
        <v>0</v>
      </c>
      <c r="AL156" s="147"/>
      <c r="AM156" s="147">
        <f>+$AB$7*0.25+W7*0.5+Z7*0.25+AF156+AK156+AH156</f>
        <v>655.00879741297581</v>
      </c>
      <c r="AN156" s="147">
        <f>+AB2*0.25+W3*0.75</f>
        <v>662.90398000000005</v>
      </c>
      <c r="AO156" s="147">
        <f t="shared" si="41"/>
        <v>7.8951825870242374</v>
      </c>
      <c r="AP156" s="231">
        <f t="shared" si="54"/>
        <v>8.2291970689129766E-3</v>
      </c>
      <c r="AQ156" s="12">
        <f t="shared" si="47"/>
        <v>6355.6219825545113</v>
      </c>
      <c r="AR156" t="s">
        <v>477</v>
      </c>
      <c r="AT156" s="237">
        <f t="shared" si="48"/>
        <v>527282.08191744552</v>
      </c>
      <c r="AU156" s="147">
        <f t="shared" si="52"/>
        <v>65000</v>
      </c>
      <c r="AV156" s="147">
        <f t="shared" si="53"/>
        <v>0</v>
      </c>
    </row>
    <row r="157" spans="2:48" x14ac:dyDescent="0.15">
      <c r="S157" t="s">
        <v>478</v>
      </c>
      <c r="T157" s="146">
        <f>14+45+15</f>
        <v>74</v>
      </c>
      <c r="U157" s="146">
        <v>245</v>
      </c>
      <c r="V157" s="146">
        <f t="shared" si="55"/>
        <v>3.310810810810811</v>
      </c>
      <c r="W157" s="146">
        <v>143</v>
      </c>
      <c r="X157" s="146"/>
      <c r="Y157" s="146"/>
      <c r="Z157" s="146"/>
      <c r="AB157" s="146">
        <f>29+45+4+6+14+4</f>
        <v>102</v>
      </c>
      <c r="AD157" s="146">
        <f t="shared" si="50"/>
        <v>245</v>
      </c>
      <c r="AE157" s="59"/>
      <c r="AF157" s="147">
        <f t="shared" si="46"/>
        <v>0</v>
      </c>
      <c r="AG157">
        <v>0.4</v>
      </c>
      <c r="AH157" s="147">
        <f t="shared" si="51"/>
        <v>212.24489795918367</v>
      </c>
      <c r="AI157" s="146">
        <v>50081</v>
      </c>
      <c r="AK157" s="147">
        <f t="shared" si="43"/>
        <v>0</v>
      </c>
      <c r="AL157" s="147"/>
      <c r="AM157" s="147">
        <f>(+$AB$7*0.42+W7*0.58)+AF157+AK157+AH157</f>
        <v>849.51823288862738</v>
      </c>
      <c r="AN157" s="147">
        <f>+AB2*0.42+W3*0.58</f>
        <v>705.31241120000004</v>
      </c>
      <c r="AO157" s="147">
        <f t="shared" ref="AO157:AO167" si="57">+AN157-AM157</f>
        <v>-144.20582168862734</v>
      </c>
      <c r="AP157" s="231">
        <f t="shared" si="54"/>
        <v>-0.15030660938869006</v>
      </c>
      <c r="AQ157" s="12">
        <f t="shared" si="47"/>
        <v>-35330.426313713695</v>
      </c>
      <c r="AR157" t="s">
        <v>478</v>
      </c>
      <c r="AT157" s="237">
        <f t="shared" si="48"/>
        <v>208131.96705771371</v>
      </c>
      <c r="AU157" s="147">
        <f t="shared" si="52"/>
        <v>52000</v>
      </c>
      <c r="AV157" s="147">
        <f t="shared" si="53"/>
        <v>0</v>
      </c>
    </row>
    <row r="158" spans="2:48" x14ac:dyDescent="0.15">
      <c r="S158" t="s">
        <v>479</v>
      </c>
      <c r="T158" s="146">
        <f>31+16+16+19+8</f>
        <v>90</v>
      </c>
      <c r="U158" s="146">
        <v>365</v>
      </c>
      <c r="V158" s="146">
        <f t="shared" si="55"/>
        <v>4.0555555555555554</v>
      </c>
      <c r="W158" s="10"/>
      <c r="X158" s="146"/>
      <c r="Y158" s="146"/>
      <c r="Z158" s="146"/>
      <c r="AB158" s="146">
        <f>126+20+45+8+20+37+65+12+24+8</f>
        <v>365</v>
      </c>
      <c r="AC158" s="146"/>
      <c r="AD158" s="146">
        <f t="shared" si="50"/>
        <v>365</v>
      </c>
      <c r="AF158" s="237">
        <f t="shared" si="46"/>
        <v>0</v>
      </c>
      <c r="AH158" s="147">
        <f t="shared" si="51"/>
        <v>0</v>
      </c>
      <c r="AI158" s="146"/>
      <c r="AK158" s="147">
        <f t="shared" si="43"/>
        <v>0</v>
      </c>
      <c r="AL158" s="6"/>
      <c r="AM158" s="147">
        <f>+$AB$7+AF158+AK158+AH158</f>
        <v>731.77662541167183</v>
      </c>
      <c r="AN158" s="147">
        <f>+$AB$2</f>
        <v>850</v>
      </c>
      <c r="AO158" s="147">
        <f t="shared" si="57"/>
        <v>118.22337458832817</v>
      </c>
      <c r="AP158" s="231">
        <f t="shared" si="54"/>
        <v>0.12322494596112429</v>
      </c>
      <c r="AQ158" s="12">
        <f t="shared" si="47"/>
        <v>43151.531724739783</v>
      </c>
      <c r="AR158" t="s">
        <v>479</v>
      </c>
      <c r="AT158" s="237">
        <f t="shared" si="48"/>
        <v>267098.46827526024</v>
      </c>
      <c r="AV158" s="147">
        <f t="shared" si="53"/>
        <v>0</v>
      </c>
    </row>
    <row r="159" spans="2:48" x14ac:dyDescent="0.15">
      <c r="B159" s="9"/>
      <c r="F159" s="9"/>
      <c r="S159" t="s">
        <v>480</v>
      </c>
      <c r="T159" s="146">
        <v>31.2</v>
      </c>
      <c r="U159" s="146">
        <v>456</v>
      </c>
      <c r="V159" s="146">
        <f t="shared" si="55"/>
        <v>14.615384615384615</v>
      </c>
      <c r="W159">
        <v>409</v>
      </c>
      <c r="AB159" s="146">
        <v>47</v>
      </c>
      <c r="AD159" s="146">
        <f t="shared" si="50"/>
        <v>456</v>
      </c>
      <c r="AE159">
        <v>0.3</v>
      </c>
      <c r="AF159" s="237">
        <f t="shared" si="46"/>
        <v>85.526315789473685</v>
      </c>
      <c r="AG159">
        <v>0.2</v>
      </c>
      <c r="AH159" s="147">
        <f t="shared" si="51"/>
        <v>57.017543859649123</v>
      </c>
      <c r="AI159" s="146">
        <v>6276</v>
      </c>
      <c r="AK159" s="147">
        <f t="shared" si="43"/>
        <v>0</v>
      </c>
      <c r="AM159" s="147">
        <f>(+$AB$7*0.11+W7*0.89)+AF159+AK159+AH159</f>
        <v>729.30681518289305</v>
      </c>
      <c r="AN159" s="147">
        <f>+AB2*0.11+W3*0.89</f>
        <v>627.97938959999999</v>
      </c>
      <c r="AO159" s="147">
        <f t="shared" si="57"/>
        <v>-101.32742558289306</v>
      </c>
      <c r="AP159" s="4">
        <f t="shared" si="54"/>
        <v>-0.10561419503808134</v>
      </c>
      <c r="AQ159" s="12">
        <f t="shared" si="47"/>
        <v>-46205.306065799232</v>
      </c>
      <c r="AR159" t="s">
        <v>480</v>
      </c>
      <c r="AT159" s="237">
        <f t="shared" si="48"/>
        <v>332563.90772339923</v>
      </c>
      <c r="AV159" s="147">
        <f t="shared" si="53"/>
        <v>39000</v>
      </c>
    </row>
    <row r="160" spans="2:48" x14ac:dyDescent="0.15">
      <c r="S160" t="s">
        <v>481</v>
      </c>
      <c r="T160" s="146">
        <f>19+37</f>
        <v>56</v>
      </c>
      <c r="U160" s="146">
        <v>610</v>
      </c>
      <c r="V160" s="146">
        <f t="shared" si="55"/>
        <v>10.892857142857142</v>
      </c>
      <c r="W160">
        <v>522</v>
      </c>
      <c r="AB160" s="146">
        <f>266*0.33</f>
        <v>87.78</v>
      </c>
      <c r="AD160" s="146">
        <f t="shared" si="50"/>
        <v>609.78</v>
      </c>
      <c r="AE160" s="59">
        <v>0.2</v>
      </c>
      <c r="AF160" s="237">
        <f t="shared" si="46"/>
        <v>42.638328577519765</v>
      </c>
      <c r="AH160" s="147">
        <f t="shared" si="51"/>
        <v>0</v>
      </c>
      <c r="AI160" s="147"/>
      <c r="AK160" s="147">
        <f t="shared" si="43"/>
        <v>0</v>
      </c>
      <c r="AM160" s="147">
        <f>(+$AB$7*0.17+W7*0.83)+AF160+AK160+AH160</f>
        <v>639.17748657496884</v>
      </c>
      <c r="AN160" s="147">
        <f>+AB2*0.17+W3*0.83</f>
        <v>642.94707119999998</v>
      </c>
      <c r="AO160" s="147">
        <f t="shared" si="57"/>
        <v>3.7695846250311433</v>
      </c>
      <c r="AP160" s="4">
        <f t="shared" si="54"/>
        <v>3.9290610958520799E-3</v>
      </c>
      <c r="AQ160" s="12">
        <f t="shared" si="47"/>
        <v>2298.6173126514905</v>
      </c>
      <c r="AR160" t="s">
        <v>481</v>
      </c>
      <c r="AT160" s="237">
        <f t="shared" si="48"/>
        <v>389757.64776368451</v>
      </c>
      <c r="AV160" s="147">
        <f t="shared" si="53"/>
        <v>26000</v>
      </c>
    </row>
    <row r="161" spans="3:48" x14ac:dyDescent="0.15">
      <c r="C161" s="2"/>
      <c r="D161" s="2"/>
      <c r="F161" s="9"/>
      <c r="S161" t="s">
        <v>482</v>
      </c>
      <c r="T161" s="146">
        <v>15.6</v>
      </c>
      <c r="U161" s="146">
        <v>116</v>
      </c>
      <c r="V161" s="146">
        <f t="shared" si="55"/>
        <v>7.4358974358974361</v>
      </c>
      <c r="W161" s="10"/>
      <c r="X161" s="146"/>
      <c r="Y161" s="146"/>
      <c r="Z161" s="146"/>
      <c r="AB161" s="146">
        <v>116</v>
      </c>
      <c r="AD161" s="146">
        <f t="shared" si="50"/>
        <v>116</v>
      </c>
      <c r="AF161" s="237">
        <f t="shared" si="46"/>
        <v>0</v>
      </c>
      <c r="AH161" s="147">
        <f t="shared" si="51"/>
        <v>0</v>
      </c>
      <c r="AI161" s="147"/>
      <c r="AK161" s="147">
        <f t="shared" si="43"/>
        <v>0</v>
      </c>
      <c r="AL161" s="6"/>
      <c r="AM161" s="147">
        <f t="shared" si="49"/>
        <v>731.77662541167183</v>
      </c>
      <c r="AN161" s="147">
        <f t="shared" ref="AN161:AN167" si="58">+$AB$2</f>
        <v>850</v>
      </c>
      <c r="AO161" s="147">
        <f t="shared" si="57"/>
        <v>118.22337458832817</v>
      </c>
      <c r="AP161" s="231">
        <f t="shared" si="54"/>
        <v>0.12322494596112429</v>
      </c>
      <c r="AQ161" s="12">
        <f t="shared" si="47"/>
        <v>13713.911452246068</v>
      </c>
      <c r="AR161" t="s">
        <v>482</v>
      </c>
      <c r="AT161" s="237">
        <f t="shared" si="48"/>
        <v>84886.088547753927</v>
      </c>
      <c r="AV161" s="147">
        <f t="shared" si="53"/>
        <v>0</v>
      </c>
    </row>
    <row r="162" spans="3:48" x14ac:dyDescent="0.15">
      <c r="S162" t="s">
        <v>483</v>
      </c>
      <c r="T162" s="146">
        <v>19.100000000000001</v>
      </c>
      <c r="U162" s="146">
        <v>131</v>
      </c>
      <c r="V162" s="146">
        <f t="shared" si="55"/>
        <v>6.8586387434554972</v>
      </c>
      <c r="W162" s="10"/>
      <c r="X162" s="146"/>
      <c r="Y162" s="146"/>
      <c r="Z162" s="146"/>
      <c r="AB162" s="146">
        <f>+U162*$T$3</f>
        <v>43.230000000000004</v>
      </c>
      <c r="AD162" s="146">
        <f t="shared" si="50"/>
        <v>43.230000000000004</v>
      </c>
      <c r="AF162" s="237">
        <f t="shared" si="46"/>
        <v>0</v>
      </c>
      <c r="AH162" s="147">
        <f t="shared" si="51"/>
        <v>0</v>
      </c>
      <c r="AI162" s="147"/>
      <c r="AK162" s="147">
        <f t="shared" si="43"/>
        <v>0</v>
      </c>
      <c r="AL162" s="6"/>
      <c r="AM162" s="147">
        <f t="shared" si="49"/>
        <v>731.77662541167183</v>
      </c>
      <c r="AN162" s="147">
        <f t="shared" si="58"/>
        <v>850</v>
      </c>
      <c r="AO162" s="147">
        <f t="shared" si="57"/>
        <v>118.22337458832817</v>
      </c>
      <c r="AP162" s="231">
        <f t="shared" si="54"/>
        <v>0.12322494596112429</v>
      </c>
      <c r="AQ162" s="12">
        <f t="shared" si="47"/>
        <v>5110.7964834534268</v>
      </c>
      <c r="AR162" t="s">
        <v>483</v>
      </c>
      <c r="AT162" s="237">
        <f t="shared" si="48"/>
        <v>31634.703516546575</v>
      </c>
      <c r="AV162" s="147">
        <f t="shared" si="53"/>
        <v>0</v>
      </c>
    </row>
    <row r="163" spans="3:48" x14ac:dyDescent="0.15">
      <c r="C163" s="6"/>
      <c r="S163" t="s">
        <v>484</v>
      </c>
      <c r="T163" s="146">
        <v>14.011889</v>
      </c>
      <c r="U163" s="146">
        <v>163</v>
      </c>
      <c r="V163" s="146">
        <f t="shared" si="55"/>
        <v>11.63297825154053</v>
      </c>
      <c r="AB163" s="146">
        <v>163</v>
      </c>
      <c r="AD163" s="146">
        <f t="shared" si="50"/>
        <v>163</v>
      </c>
      <c r="AF163" s="237">
        <f t="shared" si="46"/>
        <v>0</v>
      </c>
      <c r="AH163" s="147">
        <f t="shared" si="51"/>
        <v>0</v>
      </c>
      <c r="AI163" s="147"/>
      <c r="AK163" s="147">
        <f t="shared" si="43"/>
        <v>0</v>
      </c>
      <c r="AM163" s="147">
        <f t="shared" si="49"/>
        <v>731.77662541167183</v>
      </c>
      <c r="AN163" s="147">
        <f t="shared" si="58"/>
        <v>850</v>
      </c>
      <c r="AO163" s="147">
        <f t="shared" si="57"/>
        <v>118.22337458832817</v>
      </c>
      <c r="AP163" s="4">
        <f t="shared" si="54"/>
        <v>0.12322494596112429</v>
      </c>
      <c r="AQ163" s="12">
        <f t="shared" si="47"/>
        <v>19270.41005789749</v>
      </c>
      <c r="AR163" t="s">
        <v>484</v>
      </c>
      <c r="AT163" s="237">
        <f t="shared" si="48"/>
        <v>119279.58994210251</v>
      </c>
      <c r="AV163" s="147">
        <f t="shared" si="53"/>
        <v>0</v>
      </c>
    </row>
    <row r="164" spans="3:48" x14ac:dyDescent="0.15">
      <c r="C164" s="42"/>
      <c r="S164" t="s">
        <v>485</v>
      </c>
      <c r="T164" s="146">
        <f>48+18</f>
        <v>66</v>
      </c>
      <c r="U164" s="146">
        <v>309</v>
      </c>
      <c r="V164" s="146">
        <f t="shared" si="55"/>
        <v>4.6818181818181817</v>
      </c>
      <c r="AB164" s="146">
        <f>225+61+23</f>
        <v>309</v>
      </c>
      <c r="AD164" s="146">
        <f t="shared" si="50"/>
        <v>309</v>
      </c>
      <c r="AF164" s="237">
        <f t="shared" si="46"/>
        <v>0</v>
      </c>
      <c r="AH164" s="147">
        <f t="shared" si="51"/>
        <v>0</v>
      </c>
      <c r="AI164" s="147"/>
      <c r="AK164" s="147">
        <f>+AJ164*$AK$7/AD164</f>
        <v>0</v>
      </c>
      <c r="AM164" s="147">
        <f t="shared" si="49"/>
        <v>731.77662541167183</v>
      </c>
      <c r="AN164" s="147">
        <f t="shared" si="58"/>
        <v>850</v>
      </c>
      <c r="AO164" s="147">
        <f t="shared" si="57"/>
        <v>118.22337458832817</v>
      </c>
      <c r="AP164" s="4">
        <f t="shared" si="54"/>
        <v>0.12322494596112429</v>
      </c>
      <c r="AQ164" s="12">
        <f t="shared" si="47"/>
        <v>36531.022747793402</v>
      </c>
      <c r="AR164" t="s">
        <v>485</v>
      </c>
      <c r="AT164" s="237">
        <f t="shared" si="48"/>
        <v>226118.97725220659</v>
      </c>
      <c r="AV164" s="147">
        <f t="shared" si="53"/>
        <v>0</v>
      </c>
    </row>
    <row r="165" spans="3:48" x14ac:dyDescent="0.15">
      <c r="C165" s="42"/>
      <c r="G165" s="5"/>
      <c r="S165" t="s">
        <v>486</v>
      </c>
      <c r="T165" s="146">
        <v>16.910435</v>
      </c>
      <c r="U165" s="146">
        <v>133</v>
      </c>
      <c r="V165" s="146">
        <f t="shared" si="55"/>
        <v>7.8649662176046924</v>
      </c>
      <c r="AB165" s="146">
        <f>86+47</f>
        <v>133</v>
      </c>
      <c r="AD165" s="146">
        <f t="shared" si="50"/>
        <v>133</v>
      </c>
      <c r="AF165" s="237">
        <f t="shared" si="46"/>
        <v>0</v>
      </c>
      <c r="AH165" s="147">
        <f t="shared" si="51"/>
        <v>0</v>
      </c>
      <c r="AI165" s="147"/>
      <c r="AK165" s="147">
        <f>+AJ165*$AK$7/AD165</f>
        <v>0</v>
      </c>
      <c r="AM165" s="147">
        <f t="shared" si="49"/>
        <v>731.77662541167183</v>
      </c>
      <c r="AN165" s="147">
        <f t="shared" si="58"/>
        <v>850</v>
      </c>
      <c r="AO165" s="147">
        <f t="shared" si="57"/>
        <v>118.22337458832817</v>
      </c>
      <c r="AP165" s="4">
        <f t="shared" si="54"/>
        <v>0.12322494596112429</v>
      </c>
      <c r="AQ165" s="12">
        <f t="shared" si="47"/>
        <v>15723.708820247646</v>
      </c>
      <c r="AR165" t="s">
        <v>486</v>
      </c>
      <c r="AT165" s="237">
        <f t="shared" si="48"/>
        <v>97326.291179752356</v>
      </c>
      <c r="AV165" s="147">
        <f t="shared" si="53"/>
        <v>0</v>
      </c>
    </row>
    <row r="166" spans="3:48" x14ac:dyDescent="0.15">
      <c r="C166" s="45"/>
      <c r="S166" t="s">
        <v>487</v>
      </c>
      <c r="T166" s="146">
        <v>37.722202000000003</v>
      </c>
      <c r="U166" s="146">
        <v>304</v>
      </c>
      <c r="V166" s="146">
        <f t="shared" si="55"/>
        <v>8.0589144822457595</v>
      </c>
      <c r="AB166" s="146">
        <f>112+88+104</f>
        <v>304</v>
      </c>
      <c r="AD166" s="146">
        <f t="shared" si="50"/>
        <v>304</v>
      </c>
      <c r="AF166" s="237">
        <f t="shared" si="46"/>
        <v>0</v>
      </c>
      <c r="AH166" s="147">
        <f t="shared" si="51"/>
        <v>0</v>
      </c>
      <c r="AI166" s="147"/>
      <c r="AK166" s="147">
        <f>+AJ166*$AK$7/AD166</f>
        <v>0</v>
      </c>
      <c r="AM166" s="147">
        <f t="shared" si="49"/>
        <v>731.77662541167183</v>
      </c>
      <c r="AN166" s="147">
        <f t="shared" si="58"/>
        <v>850</v>
      </c>
      <c r="AO166" s="147">
        <f t="shared" si="57"/>
        <v>118.22337458832817</v>
      </c>
      <c r="AP166" s="4">
        <f t="shared" si="54"/>
        <v>0.12322494596112429</v>
      </c>
      <c r="AQ166" s="12">
        <f t="shared" si="47"/>
        <v>35939.905874851764</v>
      </c>
      <c r="AR166" t="s">
        <v>487</v>
      </c>
      <c r="AT166" s="237">
        <f t="shared" si="48"/>
        <v>222460.09412514823</v>
      </c>
      <c r="AV166" s="147">
        <f t="shared" si="53"/>
        <v>0</v>
      </c>
    </row>
    <row r="167" spans="3:48" x14ac:dyDescent="0.15">
      <c r="C167" s="47"/>
      <c r="S167" t="s">
        <v>488</v>
      </c>
      <c r="T167" s="144">
        <v>20.3</v>
      </c>
      <c r="U167" s="146">
        <v>119</v>
      </c>
      <c r="V167" s="146">
        <f t="shared" si="55"/>
        <v>5.8620689655172411</v>
      </c>
      <c r="AB167" s="146">
        <v>119</v>
      </c>
      <c r="AD167" s="146">
        <f t="shared" si="50"/>
        <v>119</v>
      </c>
      <c r="AF167" s="237">
        <f t="shared" si="46"/>
        <v>0</v>
      </c>
      <c r="AH167" s="147">
        <f t="shared" si="51"/>
        <v>0</v>
      </c>
      <c r="AI167" s="147"/>
      <c r="AK167" s="147">
        <f>+AJ167*$AK$7/AD167</f>
        <v>0</v>
      </c>
      <c r="AM167" s="147">
        <f t="shared" si="49"/>
        <v>731.77662541167183</v>
      </c>
      <c r="AN167" s="147">
        <f t="shared" si="58"/>
        <v>850</v>
      </c>
      <c r="AO167" s="147">
        <f t="shared" si="57"/>
        <v>118.22337458832817</v>
      </c>
      <c r="AP167" s="4">
        <f t="shared" si="54"/>
        <v>0.12322494596112429</v>
      </c>
      <c r="AQ167" s="12">
        <f t="shared" si="47"/>
        <v>14068.581576011053</v>
      </c>
      <c r="AR167" t="s">
        <v>488</v>
      </c>
      <c r="AT167" s="237">
        <f t="shared" si="48"/>
        <v>87081.418423988944</v>
      </c>
      <c r="AV167" s="147">
        <f t="shared" si="53"/>
        <v>0</v>
      </c>
    </row>
    <row r="168" spans="3:48" x14ac:dyDescent="0.15">
      <c r="C168" s="48"/>
      <c r="F168" s="9"/>
      <c r="T168" s="59"/>
      <c r="U168" s="146"/>
      <c r="V168" s="146"/>
      <c r="AB168" s="146"/>
      <c r="AD168" s="146"/>
      <c r="AF168" s="237"/>
      <c r="AM168" s="147"/>
      <c r="AN168" s="147"/>
      <c r="AO168" s="147"/>
      <c r="AP168" s="4"/>
      <c r="AQ168" s="12"/>
      <c r="AT168" s="237"/>
    </row>
    <row r="169" spans="3:48" x14ac:dyDescent="0.15">
      <c r="C169" s="15"/>
      <c r="T169" s="31">
        <f>SUM(T10:T168)</f>
        <v>5311.3157410000013</v>
      </c>
      <c r="U169" s="31">
        <f>SUM(U10:U168)</f>
        <v>57863</v>
      </c>
      <c r="V169" s="146">
        <f t="shared" si="55"/>
        <v>10.894287370892716</v>
      </c>
      <c r="W169" s="31">
        <f t="shared" ref="W169:AL169" si="59">SUM(W10:W168)</f>
        <v>21502</v>
      </c>
      <c r="X169" s="31">
        <f t="shared" si="59"/>
        <v>0</v>
      </c>
      <c r="Y169" s="31">
        <f t="shared" si="59"/>
        <v>3064</v>
      </c>
      <c r="Z169" s="31">
        <f t="shared" si="59"/>
        <v>9317</v>
      </c>
      <c r="AA169" s="31">
        <f t="shared" si="59"/>
        <v>523</v>
      </c>
      <c r="AB169" s="31">
        <f t="shared" si="59"/>
        <v>23162.41</v>
      </c>
      <c r="AC169" s="31">
        <f t="shared" si="59"/>
        <v>0</v>
      </c>
      <c r="AD169" s="31">
        <f t="shared" si="59"/>
        <v>57568.409999999996</v>
      </c>
      <c r="AE169" s="143">
        <f>SUM(AE10:AE168)</f>
        <v>14.799999999999999</v>
      </c>
      <c r="AF169" s="31"/>
      <c r="AG169" s="143">
        <f>SUM(AG10:AG168)</f>
        <v>15.999999999999998</v>
      </c>
      <c r="AH169" s="31">
        <f>SUM(AH10:AH168)</f>
        <v>8822.663142921394</v>
      </c>
      <c r="AI169" s="31"/>
      <c r="AJ169" s="143">
        <f t="shared" si="59"/>
        <v>7.45</v>
      </c>
      <c r="AK169" s="31">
        <f t="shared" si="59"/>
        <v>770.1276581046011</v>
      </c>
      <c r="AL169" s="31">
        <f t="shared" si="59"/>
        <v>0</v>
      </c>
      <c r="AP169" s="31"/>
      <c r="AQ169" s="147">
        <f>SUM(AQ10:AQ168)</f>
        <v>1042487.2594737363</v>
      </c>
      <c r="AT169" s="147">
        <f>SUM(AT10:AT168)</f>
        <v>39406976.20563224</v>
      </c>
      <c r="AU169" s="147">
        <f t="shared" ref="AU169:AV169" si="60">SUM(AU10:AU168)</f>
        <v>1612000</v>
      </c>
      <c r="AV169" s="147">
        <f t="shared" si="60"/>
        <v>1924000</v>
      </c>
    </row>
    <row r="170" spans="3:48" x14ac:dyDescent="0.15">
      <c r="C170" s="49"/>
      <c r="AA170" s="146"/>
      <c r="AB170" s="146"/>
      <c r="AC170" s="146"/>
      <c r="AD170" t="s">
        <v>103</v>
      </c>
      <c r="AE170">
        <f>+AD169/AE169+AG169</f>
        <v>3905.7574324324323</v>
      </c>
      <c r="AP170" s="31"/>
      <c r="AQ170" s="44">
        <f>+AQ169/AD169</f>
        <v>18.108668616585664</v>
      </c>
      <c r="AT170" s="147">
        <f>+AT169/F28</f>
        <v>684.52431126085025</v>
      </c>
      <c r="AU170" s="147">
        <f>+AU169/F28</f>
        <v>28.001468166308573</v>
      </c>
      <c r="AV170" s="147">
        <f>+AV169/AD169</f>
        <v>33.421107166239267</v>
      </c>
    </row>
    <row r="171" spans="3:48" x14ac:dyDescent="0.15">
      <c r="C171" s="48"/>
      <c r="G171" s="5"/>
      <c r="T171" s="59"/>
      <c r="U171" s="146"/>
      <c r="V171" s="146"/>
      <c r="AB171" s="146"/>
      <c r="AD171" s="146"/>
      <c r="AF171" s="237"/>
      <c r="AM171" s="147"/>
      <c r="AN171" s="147"/>
      <c r="AO171" s="147"/>
      <c r="AP171" s="4"/>
      <c r="AQ171" s="12"/>
      <c r="AT171" s="237"/>
    </row>
    <row r="172" spans="3:48" x14ac:dyDescent="0.15">
      <c r="C172" s="48"/>
      <c r="T172" s="59"/>
      <c r="U172" s="146"/>
      <c r="V172" s="146"/>
      <c r="AB172" s="146"/>
      <c r="AD172" s="146"/>
      <c r="AF172" s="237"/>
      <c r="AM172" s="147"/>
      <c r="AN172" s="147"/>
      <c r="AO172" s="147"/>
      <c r="AP172" s="4"/>
      <c r="AQ172" s="12"/>
      <c r="AT172" s="237"/>
    </row>
    <row r="173" spans="3:48" x14ac:dyDescent="0.15">
      <c r="T173" s="59"/>
      <c r="U173" s="146"/>
      <c r="V173" s="146"/>
      <c r="AB173" s="146"/>
      <c r="AD173" s="146"/>
      <c r="AF173" s="237"/>
      <c r="AM173" s="147"/>
      <c r="AN173" s="147"/>
      <c r="AO173" s="147"/>
      <c r="AP173" s="4"/>
      <c r="AQ173" s="12"/>
      <c r="AT173" s="237"/>
    </row>
    <row r="174" spans="3:48" x14ac:dyDescent="0.15">
      <c r="T174" s="59"/>
      <c r="U174" s="146"/>
      <c r="V174" s="146"/>
      <c r="AB174" s="146"/>
      <c r="AD174" s="146"/>
      <c r="AF174" s="237"/>
      <c r="AM174" s="147"/>
      <c r="AN174" s="147"/>
      <c r="AO174" s="147"/>
      <c r="AP174" s="4"/>
      <c r="AQ174" s="12"/>
      <c r="AT174" s="237"/>
    </row>
    <row r="175" spans="3:48" x14ac:dyDescent="0.15">
      <c r="T175" s="59"/>
      <c r="U175" s="146"/>
      <c r="V175" s="146"/>
      <c r="AB175" s="146"/>
      <c r="AD175" s="146"/>
      <c r="AF175" s="237"/>
      <c r="AM175" s="147"/>
      <c r="AN175" s="147"/>
      <c r="AO175" s="147"/>
      <c r="AP175" s="4"/>
      <c r="AQ175" s="12"/>
      <c r="AT175" s="237"/>
    </row>
    <row r="176" spans="3:48" x14ac:dyDescent="0.15">
      <c r="T176" s="59"/>
      <c r="U176" s="146"/>
      <c r="V176" s="146"/>
      <c r="AB176" s="146"/>
      <c r="AD176" s="146"/>
      <c r="AF176" s="237"/>
      <c r="AM176" s="147"/>
      <c r="AN176" s="147"/>
      <c r="AO176" s="147"/>
      <c r="AP176" s="4"/>
      <c r="AQ176" s="12"/>
      <c r="AT176" s="237"/>
    </row>
    <row r="177" spans="1:46" x14ac:dyDescent="0.15">
      <c r="T177" s="59"/>
      <c r="U177" s="146"/>
      <c r="V177" s="146"/>
      <c r="AB177" s="146"/>
      <c r="AD177" s="146"/>
      <c r="AF177" s="237"/>
      <c r="AM177" s="147"/>
      <c r="AN177" s="147"/>
      <c r="AO177" s="147"/>
      <c r="AP177" s="4"/>
      <c r="AQ177" s="12"/>
      <c r="AT177" s="237"/>
    </row>
    <row r="178" spans="1:46" x14ac:dyDescent="0.15">
      <c r="T178" s="59"/>
      <c r="U178" s="146"/>
      <c r="V178" s="146"/>
      <c r="AB178" s="146"/>
      <c r="AD178" s="146"/>
      <c r="AF178" s="237"/>
      <c r="AM178" s="147"/>
      <c r="AN178" s="147"/>
      <c r="AO178" s="147"/>
      <c r="AP178" s="4"/>
      <c r="AQ178" s="12"/>
      <c r="AT178" s="237"/>
    </row>
    <row r="179" spans="1:46" x14ac:dyDescent="0.15">
      <c r="T179" s="59"/>
      <c r="U179" s="146"/>
      <c r="V179" s="146"/>
      <c r="AB179" s="146"/>
      <c r="AD179" s="146"/>
      <c r="AF179" s="237"/>
      <c r="AM179" s="147"/>
      <c r="AN179" s="147"/>
      <c r="AO179" s="147"/>
      <c r="AP179" s="4"/>
      <c r="AQ179" s="12"/>
      <c r="AT179" s="237"/>
    </row>
    <row r="180" spans="1:46" x14ac:dyDescent="0.15">
      <c r="T180" s="59"/>
      <c r="U180" s="146"/>
      <c r="V180" s="146"/>
      <c r="AB180" s="146"/>
      <c r="AD180" s="146"/>
      <c r="AF180" s="237"/>
      <c r="AM180" s="147"/>
      <c r="AN180" s="147"/>
      <c r="AO180" s="147"/>
      <c r="AP180" s="4"/>
      <c r="AQ180" s="12"/>
      <c r="AT180" s="237"/>
    </row>
    <row r="181" spans="1:46" x14ac:dyDescent="0.15">
      <c r="C181" s="39"/>
      <c r="D181" s="2">
        <v>2013</v>
      </c>
      <c r="E181" s="2" t="s">
        <v>317</v>
      </c>
      <c r="F181" s="2"/>
      <c r="G181" s="2"/>
      <c r="T181" s="59"/>
      <c r="U181" s="146"/>
      <c r="V181" s="146"/>
      <c r="AB181" s="146"/>
      <c r="AD181" s="146"/>
      <c r="AF181" s="237"/>
      <c r="AM181" s="147"/>
      <c r="AN181" s="147"/>
      <c r="AO181" s="147"/>
      <c r="AP181" s="4"/>
      <c r="AQ181" s="12"/>
      <c r="AT181" s="237"/>
    </row>
    <row r="182" spans="1:46" x14ac:dyDescent="0.15">
      <c r="A182" t="s">
        <v>331</v>
      </c>
      <c r="C182" s="39" t="s">
        <v>332</v>
      </c>
      <c r="D182" s="2" t="s">
        <v>106</v>
      </c>
      <c r="E182" s="2"/>
      <c r="F182" s="2"/>
      <c r="G182" s="2"/>
      <c r="T182" s="59"/>
      <c r="U182" s="146"/>
      <c r="V182" s="146"/>
      <c r="AB182" s="146"/>
      <c r="AD182" s="146"/>
      <c r="AF182" s="237"/>
      <c r="AM182" s="147"/>
      <c r="AN182" s="147"/>
      <c r="AO182" s="147"/>
      <c r="AP182" s="4"/>
      <c r="AQ182" s="12"/>
      <c r="AT182" s="237"/>
    </row>
    <row r="183" spans="1:46" x14ac:dyDescent="0.15">
      <c r="B183" s="10"/>
      <c r="C183" s="2" t="s">
        <v>164</v>
      </c>
      <c r="D183" s="2" t="s">
        <v>165</v>
      </c>
      <c r="E183" s="2" t="s">
        <v>166</v>
      </c>
      <c r="F183" s="2" t="s">
        <v>167</v>
      </c>
      <c r="G183" s="2" t="s">
        <v>62</v>
      </c>
      <c r="H183" s="2" t="s">
        <v>107</v>
      </c>
      <c r="I183" s="2" t="s">
        <v>108</v>
      </c>
      <c r="J183" s="2" t="s">
        <v>109</v>
      </c>
      <c r="K183" s="2" t="s">
        <v>110</v>
      </c>
      <c r="L183" s="2" t="s">
        <v>111</v>
      </c>
      <c r="M183" s="2" t="s">
        <v>112</v>
      </c>
      <c r="T183" s="59"/>
      <c r="U183" s="146"/>
      <c r="V183" s="146"/>
      <c r="AB183" s="146"/>
      <c r="AD183" s="146"/>
      <c r="AF183" s="237"/>
      <c r="AM183" s="147"/>
      <c r="AN183" s="147"/>
      <c r="AO183" s="147"/>
      <c r="AP183" s="4"/>
      <c r="AQ183" s="12"/>
      <c r="AT183" s="237"/>
    </row>
    <row r="184" spans="1:46" x14ac:dyDescent="0.15">
      <c r="T184" s="59"/>
      <c r="U184" s="146"/>
      <c r="V184" s="146"/>
      <c r="AB184" s="146"/>
      <c r="AD184" s="146"/>
      <c r="AF184" s="237"/>
      <c r="AM184" s="147"/>
      <c r="AN184" s="147"/>
      <c r="AO184" s="147"/>
      <c r="AP184" s="4"/>
      <c r="AQ184" s="12"/>
      <c r="AT184" s="237"/>
    </row>
    <row r="185" spans="1:46" x14ac:dyDescent="0.15">
      <c r="A185" s="14" t="s">
        <v>64</v>
      </c>
      <c r="B185" s="159">
        <v>1579</v>
      </c>
      <c r="C185" s="205">
        <v>0.81</v>
      </c>
      <c r="D185" s="6">
        <f>+C185*B185</f>
        <v>1278.99</v>
      </c>
      <c r="E185" s="160">
        <v>262</v>
      </c>
      <c r="F185" s="5">
        <v>0.14000000000000001</v>
      </c>
      <c r="G185" s="6">
        <f>+D185-E185</f>
        <v>1016.99</v>
      </c>
      <c r="H185" s="6">
        <f>+I185*G185</f>
        <v>203.39800000000002</v>
      </c>
      <c r="I185" s="4">
        <v>0.2</v>
      </c>
      <c r="J185" s="4">
        <v>0.2</v>
      </c>
      <c r="K185" s="7">
        <f>+J185*G185</f>
        <v>203.39800000000002</v>
      </c>
      <c r="L185" s="6">
        <f>+D185*J185</f>
        <v>255.798</v>
      </c>
      <c r="M185" s="6">
        <f>+D185*I185</f>
        <v>255.798</v>
      </c>
      <c r="T185" s="59"/>
      <c r="U185" s="146"/>
      <c r="V185" s="146"/>
      <c r="AB185" s="146"/>
      <c r="AD185" s="146"/>
      <c r="AF185" s="237"/>
      <c r="AM185" s="147"/>
      <c r="AN185" s="147"/>
      <c r="AO185" s="147"/>
      <c r="AP185" s="4"/>
      <c r="AQ185" s="12"/>
      <c r="AT185" s="237"/>
    </row>
    <row r="186" spans="1:46" x14ac:dyDescent="0.15">
      <c r="A186" s="14" t="s">
        <v>65</v>
      </c>
      <c r="B186" s="159">
        <v>435</v>
      </c>
      <c r="C186" s="209">
        <v>1.161</v>
      </c>
      <c r="D186" s="6">
        <f t="shared" ref="D186:D193" si="61">+C186*B186</f>
        <v>505.03500000000003</v>
      </c>
      <c r="E186" s="160">
        <v>267</v>
      </c>
      <c r="F186" s="5">
        <v>0.14000000000000001</v>
      </c>
      <c r="G186" s="6">
        <f t="shared" ref="G186:G193" si="62">+D186-E186</f>
        <v>238.03500000000003</v>
      </c>
      <c r="H186" s="6">
        <f t="shared" ref="H186:H193" si="63">+I186*G186</f>
        <v>11.901750000000002</v>
      </c>
      <c r="I186" s="4">
        <v>0.05</v>
      </c>
      <c r="J186" s="4">
        <v>0.55000000000000004</v>
      </c>
      <c r="K186" s="7">
        <f t="shared" ref="K186:K191" si="64">+J186*G186</f>
        <v>130.91925000000003</v>
      </c>
      <c r="L186" s="6">
        <f t="shared" ref="L186:L193" si="65">+D186*J186</f>
        <v>277.76925000000006</v>
      </c>
      <c r="M186" s="6">
        <f t="shared" ref="M186:M193" si="66">+D186*I186</f>
        <v>25.251750000000001</v>
      </c>
      <c r="T186" s="59"/>
      <c r="U186" s="146"/>
      <c r="V186" s="146"/>
      <c r="AB186" s="146"/>
      <c r="AD186" s="146"/>
      <c r="AF186" s="237"/>
      <c r="AM186" s="147"/>
      <c r="AN186" s="147"/>
      <c r="AO186" s="147"/>
      <c r="AP186" s="4"/>
      <c r="AQ186" s="12"/>
      <c r="AT186" s="237"/>
    </row>
    <row r="187" spans="1:46" x14ac:dyDescent="0.15">
      <c r="A187" s="14" t="s">
        <v>66</v>
      </c>
      <c r="B187" s="159">
        <v>966</v>
      </c>
      <c r="C187" s="209">
        <v>1.081</v>
      </c>
      <c r="D187" s="6">
        <f t="shared" si="61"/>
        <v>1044.2459999999999</v>
      </c>
      <c r="E187" s="160">
        <v>381</v>
      </c>
      <c r="F187" s="5">
        <v>0.14000000000000001</v>
      </c>
      <c r="G187" s="6">
        <f t="shared" si="62"/>
        <v>663.24599999999987</v>
      </c>
      <c r="H187" s="6">
        <f t="shared" si="63"/>
        <v>99.486899999999977</v>
      </c>
      <c r="I187" s="4">
        <v>0.15</v>
      </c>
      <c r="J187" s="4">
        <v>0.15</v>
      </c>
      <c r="K187" s="7">
        <f t="shared" si="64"/>
        <v>99.486899999999977</v>
      </c>
      <c r="L187" s="6">
        <f t="shared" si="65"/>
        <v>156.63689999999997</v>
      </c>
      <c r="M187" s="6">
        <f t="shared" si="66"/>
        <v>156.63689999999997</v>
      </c>
      <c r="T187" s="59"/>
      <c r="U187" s="146"/>
      <c r="V187" s="146"/>
      <c r="AB187" s="146"/>
      <c r="AD187" s="146"/>
      <c r="AF187" s="237"/>
      <c r="AM187" s="147"/>
      <c r="AN187" s="147"/>
      <c r="AO187" s="147"/>
      <c r="AP187" s="4"/>
      <c r="AQ187" s="12"/>
      <c r="AT187" s="237"/>
    </row>
    <row r="188" spans="1:46" x14ac:dyDescent="0.15">
      <c r="A188" s="14" t="s">
        <v>67</v>
      </c>
      <c r="B188" s="159">
        <v>797</v>
      </c>
      <c r="C188" s="209">
        <v>1.08</v>
      </c>
      <c r="D188" s="6">
        <f t="shared" si="61"/>
        <v>860.7600000000001</v>
      </c>
      <c r="E188" s="160">
        <v>92</v>
      </c>
      <c r="F188" s="5">
        <v>0.14000000000000001</v>
      </c>
      <c r="G188" s="6">
        <f t="shared" si="62"/>
        <v>768.7600000000001</v>
      </c>
      <c r="H188" s="6">
        <f t="shared" si="63"/>
        <v>0</v>
      </c>
      <c r="I188" s="4"/>
      <c r="J188" s="4"/>
      <c r="K188" s="7">
        <f t="shared" si="64"/>
        <v>0</v>
      </c>
      <c r="L188" s="6">
        <f t="shared" si="65"/>
        <v>0</v>
      </c>
      <c r="M188" s="6">
        <f t="shared" si="66"/>
        <v>0</v>
      </c>
      <c r="T188" s="59"/>
      <c r="U188" s="146"/>
      <c r="V188" s="146"/>
      <c r="AB188" s="146"/>
      <c r="AD188" s="146"/>
      <c r="AF188" s="237"/>
      <c r="AM188" s="147"/>
      <c r="AN188" s="147"/>
      <c r="AO188" s="147"/>
      <c r="AP188" s="4"/>
      <c r="AQ188" s="12"/>
      <c r="AT188" s="237"/>
    </row>
    <row r="189" spans="1:46" x14ac:dyDescent="0.15">
      <c r="A189" s="20" t="s">
        <v>68</v>
      </c>
      <c r="B189" s="165">
        <v>942</v>
      </c>
      <c r="C189" s="209">
        <v>0.76600000000000001</v>
      </c>
      <c r="D189" s="6">
        <f t="shared" si="61"/>
        <v>721.572</v>
      </c>
      <c r="E189" s="160">
        <v>92</v>
      </c>
      <c r="F189" s="5">
        <v>0.14000000000000001</v>
      </c>
      <c r="G189" s="6">
        <f t="shared" si="62"/>
        <v>629.572</v>
      </c>
      <c r="H189" s="6">
        <f t="shared" si="63"/>
        <v>62.9572</v>
      </c>
      <c r="I189" s="4">
        <v>0.1</v>
      </c>
      <c r="J189" s="4">
        <v>0.1</v>
      </c>
      <c r="K189" s="7">
        <f t="shared" si="64"/>
        <v>62.9572</v>
      </c>
      <c r="L189" s="6">
        <f t="shared" si="65"/>
        <v>72.157200000000003</v>
      </c>
      <c r="M189" s="6">
        <f t="shared" si="66"/>
        <v>72.157200000000003</v>
      </c>
      <c r="T189" s="59"/>
      <c r="U189" s="146"/>
      <c r="V189" s="146"/>
      <c r="AB189" s="146"/>
      <c r="AD189" s="146"/>
      <c r="AF189" s="237"/>
      <c r="AM189" s="147"/>
      <c r="AN189" s="147"/>
      <c r="AO189" s="147"/>
      <c r="AP189" s="4"/>
      <c r="AQ189" s="12"/>
      <c r="AT189" s="237"/>
    </row>
    <row r="190" spans="1:46" x14ac:dyDescent="0.15">
      <c r="A190" s="20" t="s">
        <v>69</v>
      </c>
      <c r="B190" s="165">
        <v>694</v>
      </c>
      <c r="C190" s="209">
        <v>0.80100000000000005</v>
      </c>
      <c r="D190" s="6">
        <f t="shared" si="61"/>
        <v>555.89400000000001</v>
      </c>
      <c r="E190" s="166">
        <v>92</v>
      </c>
      <c r="F190" s="5">
        <v>0.14000000000000001</v>
      </c>
      <c r="G190" s="6">
        <f t="shared" si="62"/>
        <v>463.89400000000001</v>
      </c>
      <c r="H190" s="6">
        <f t="shared" si="63"/>
        <v>0</v>
      </c>
      <c r="I190" s="4"/>
      <c r="J190" s="4"/>
      <c r="K190" s="7">
        <f t="shared" si="64"/>
        <v>0</v>
      </c>
      <c r="L190" s="6">
        <f t="shared" si="65"/>
        <v>0</v>
      </c>
      <c r="M190" s="6">
        <f t="shared" si="66"/>
        <v>0</v>
      </c>
      <c r="T190" s="59"/>
      <c r="U190" s="146"/>
      <c r="V190" s="146"/>
      <c r="Z190" s="146"/>
      <c r="AD190" s="146"/>
      <c r="AF190" s="237"/>
      <c r="AM190" s="147"/>
      <c r="AN190" s="147"/>
      <c r="AO190" s="147"/>
      <c r="AP190" s="4"/>
      <c r="AQ190" s="12"/>
      <c r="AT190" s="237"/>
    </row>
    <row r="191" spans="1:46" x14ac:dyDescent="0.15">
      <c r="A191" s="20" t="s">
        <v>70</v>
      </c>
      <c r="B191" s="159">
        <v>655</v>
      </c>
      <c r="C191" s="209">
        <v>0.77300000000000002</v>
      </c>
      <c r="D191" s="6">
        <f t="shared" si="61"/>
        <v>506.315</v>
      </c>
      <c r="E191" s="166">
        <v>95</v>
      </c>
      <c r="F191" s="5">
        <v>0.14000000000000001</v>
      </c>
      <c r="G191" s="6">
        <f t="shared" si="62"/>
        <v>411.315</v>
      </c>
      <c r="H191" s="6">
        <f t="shared" si="63"/>
        <v>0</v>
      </c>
      <c r="I191" s="4"/>
      <c r="J191" s="4"/>
      <c r="K191" s="7">
        <f t="shared" si="64"/>
        <v>0</v>
      </c>
      <c r="L191" s="6">
        <f t="shared" si="65"/>
        <v>0</v>
      </c>
      <c r="M191" s="6">
        <f t="shared" si="66"/>
        <v>0</v>
      </c>
      <c r="T191" s="59"/>
      <c r="U191" s="146"/>
      <c r="V191" s="146"/>
      <c r="Z191" s="146"/>
      <c r="AD191" s="146"/>
      <c r="AF191" s="237"/>
      <c r="AM191" s="147"/>
      <c r="AN191" s="147"/>
      <c r="AO191" s="147"/>
      <c r="AP191" s="4"/>
      <c r="AQ191" s="12"/>
      <c r="AT191" s="237"/>
    </row>
    <row r="192" spans="1:46" x14ac:dyDescent="0.15">
      <c r="A192" s="20" t="s">
        <v>113</v>
      </c>
      <c r="B192" s="168">
        <v>641.37</v>
      </c>
      <c r="C192" s="211">
        <v>0.85599999999999998</v>
      </c>
      <c r="D192" s="6">
        <f t="shared" si="61"/>
        <v>549.01271999999994</v>
      </c>
      <c r="E192" s="169">
        <v>102.67</v>
      </c>
      <c r="F192" s="5">
        <v>0.16</v>
      </c>
      <c r="G192" s="6">
        <f t="shared" si="62"/>
        <v>446.34271999999993</v>
      </c>
      <c r="H192" s="6">
        <f t="shared" si="63"/>
        <v>0</v>
      </c>
      <c r="I192" s="4"/>
      <c r="J192" s="4"/>
      <c r="K192" s="6"/>
      <c r="L192" s="6">
        <f t="shared" si="65"/>
        <v>0</v>
      </c>
      <c r="M192" s="6">
        <f t="shared" si="66"/>
        <v>0</v>
      </c>
      <c r="T192" s="59"/>
      <c r="U192" s="146"/>
      <c r="V192" s="146"/>
      <c r="Z192" s="146"/>
      <c r="AD192" s="146"/>
      <c r="AF192" s="237"/>
      <c r="AM192" s="147"/>
      <c r="AN192" s="147"/>
      <c r="AO192" s="147"/>
      <c r="AP192" s="4"/>
      <c r="AQ192" s="12"/>
      <c r="AT192" s="237"/>
    </row>
    <row r="193" spans="1:46" x14ac:dyDescent="0.15">
      <c r="A193" s="20" t="s">
        <v>114</v>
      </c>
      <c r="B193" s="168">
        <v>608.83000000000004</v>
      </c>
      <c r="C193" s="215">
        <v>0.83499999999999996</v>
      </c>
      <c r="D193" s="6">
        <f t="shared" si="61"/>
        <v>508.37305000000003</v>
      </c>
      <c r="E193" s="169">
        <v>102.67</v>
      </c>
      <c r="F193" s="5">
        <v>0.16</v>
      </c>
      <c r="G193" s="6">
        <f t="shared" si="62"/>
        <v>405.70305000000002</v>
      </c>
      <c r="H193" s="6">
        <f t="shared" si="63"/>
        <v>202.85152500000001</v>
      </c>
      <c r="I193" s="4">
        <v>0.5</v>
      </c>
      <c r="K193" s="4"/>
      <c r="L193" s="6">
        <f t="shared" si="65"/>
        <v>0</v>
      </c>
      <c r="M193" s="6">
        <f t="shared" si="66"/>
        <v>254.18652500000002</v>
      </c>
      <c r="T193" s="59"/>
      <c r="U193" s="146"/>
      <c r="V193" s="146"/>
      <c r="Z193" s="146"/>
      <c r="AD193" s="146"/>
      <c r="AF193" s="237"/>
      <c r="AM193" s="147"/>
      <c r="AN193" s="147"/>
      <c r="AO193" s="147"/>
      <c r="AP193" s="4"/>
      <c r="AQ193" s="12"/>
      <c r="AT193" s="237"/>
    </row>
    <row r="194" spans="1:46" x14ac:dyDescent="0.15">
      <c r="A194" s="20"/>
      <c r="B194" s="6"/>
      <c r="C194" s="59"/>
      <c r="D194" s="6"/>
      <c r="E194" s="6"/>
      <c r="F194" s="5"/>
      <c r="G194" s="6"/>
      <c r="H194" s="6"/>
      <c r="I194" s="4"/>
      <c r="K194" s="4"/>
      <c r="M194" s="6"/>
      <c r="T194" s="59"/>
      <c r="U194" s="146"/>
      <c r="V194" s="146"/>
      <c r="Z194" s="146"/>
      <c r="AD194" s="146"/>
      <c r="AF194" s="237"/>
      <c r="AM194" s="147"/>
      <c r="AN194" s="147"/>
      <c r="AO194" s="147"/>
      <c r="AP194" s="4"/>
      <c r="AQ194" s="12"/>
      <c r="AT194" s="237"/>
    </row>
    <row r="195" spans="1:46" x14ac:dyDescent="0.15">
      <c r="A195" s="20" t="s">
        <v>115</v>
      </c>
      <c r="H195" s="6">
        <f>SUM(H185:H193)</f>
        <v>580.59537499999999</v>
      </c>
      <c r="I195" s="4">
        <f>SUM(I185:I193)</f>
        <v>1</v>
      </c>
      <c r="J195" s="4">
        <f>SUM(J185:J193)</f>
        <v>1</v>
      </c>
      <c r="K195" s="6">
        <f>SUM(K185:K193)</f>
        <v>496.76135000000005</v>
      </c>
      <c r="L195" s="6">
        <f>SUM(L185:L194)</f>
        <v>762.36135000000002</v>
      </c>
      <c r="M195" s="6">
        <f>SUM(M185:M193)</f>
        <v>764.03037500000005</v>
      </c>
      <c r="T195" s="59"/>
      <c r="U195" s="146"/>
      <c r="V195" s="146"/>
      <c r="Z195" s="146"/>
      <c r="AD195" s="146"/>
      <c r="AF195" s="237"/>
      <c r="AM195" s="147"/>
      <c r="AN195" s="147"/>
      <c r="AO195" s="147"/>
      <c r="AP195" s="4"/>
      <c r="AQ195" s="12"/>
      <c r="AT195" s="237"/>
    </row>
    <row r="196" spans="1:46" x14ac:dyDescent="0.15">
      <c r="A196" s="20"/>
      <c r="H196" s="6"/>
      <c r="I196" s="4"/>
      <c r="J196" s="4"/>
      <c r="K196" s="6"/>
      <c r="L196" s="6"/>
      <c r="M196" s="6"/>
      <c r="T196" s="59"/>
      <c r="U196" s="146"/>
      <c r="V196" s="146"/>
      <c r="Z196" s="146"/>
      <c r="AD196" s="146"/>
      <c r="AF196" s="237"/>
      <c r="AM196" s="147"/>
      <c r="AN196" s="147"/>
      <c r="AO196" s="147"/>
      <c r="AP196" s="4"/>
      <c r="AQ196" s="12"/>
      <c r="AT196" s="237"/>
    </row>
    <row r="197" spans="1:46" x14ac:dyDescent="0.15">
      <c r="A197" s="20"/>
      <c r="H197" s="6"/>
      <c r="I197" s="4"/>
      <c r="J197" s="4"/>
      <c r="K197" s="6"/>
      <c r="L197" s="6"/>
      <c r="M197" s="6"/>
      <c r="T197" s="59"/>
      <c r="U197" s="146"/>
      <c r="V197" s="146"/>
      <c r="Z197" s="146"/>
      <c r="AD197" s="146"/>
      <c r="AF197" s="237"/>
      <c r="AM197" s="147"/>
      <c r="AN197" s="147"/>
      <c r="AO197" s="147"/>
      <c r="AP197" s="4"/>
      <c r="AQ197" s="12"/>
      <c r="AT197" s="237"/>
    </row>
    <row r="198" spans="1:46" x14ac:dyDescent="0.15">
      <c r="A198" s="20"/>
      <c r="H198" s="6"/>
      <c r="I198" s="4"/>
      <c r="J198" s="4"/>
      <c r="K198" s="6"/>
      <c r="L198" s="6"/>
      <c r="M198" s="6"/>
      <c r="T198" s="59"/>
      <c r="U198" s="146"/>
      <c r="V198" s="146"/>
      <c r="Z198" s="146"/>
      <c r="AD198" s="146"/>
      <c r="AF198" s="237"/>
      <c r="AM198" s="147"/>
      <c r="AN198" s="147"/>
      <c r="AO198" s="147"/>
      <c r="AP198" s="4"/>
      <c r="AQ198" s="12"/>
      <c r="AT198" s="237"/>
    </row>
    <row r="199" spans="1:46" x14ac:dyDescent="0.15">
      <c r="A199" s="20"/>
      <c r="H199" s="6"/>
      <c r="I199" s="4"/>
      <c r="J199" s="4"/>
      <c r="K199" s="6"/>
      <c r="L199" s="6"/>
      <c r="M199" s="6"/>
      <c r="T199" s="59"/>
      <c r="U199" s="146"/>
      <c r="V199" s="146"/>
      <c r="Z199" s="146"/>
      <c r="AD199" s="146"/>
      <c r="AF199" s="237"/>
      <c r="AM199" s="147"/>
      <c r="AN199" s="147"/>
      <c r="AO199" s="147"/>
      <c r="AP199" s="4"/>
      <c r="AQ199" s="12"/>
      <c r="AT199" s="237"/>
    </row>
    <row r="200" spans="1:46" x14ac:dyDescent="0.15">
      <c r="A200" s="20"/>
      <c r="H200" s="6"/>
      <c r="I200" s="4"/>
      <c r="J200" s="4"/>
      <c r="K200" s="6"/>
      <c r="L200" s="6"/>
      <c r="M200" s="6"/>
      <c r="T200" s="59"/>
      <c r="U200" s="146"/>
      <c r="V200" s="146"/>
      <c r="Z200" s="146"/>
      <c r="AD200" s="146"/>
      <c r="AF200" s="237"/>
      <c r="AM200" s="147"/>
      <c r="AN200" s="147"/>
      <c r="AO200" s="147"/>
      <c r="AP200" s="4"/>
      <c r="AQ200" s="12"/>
      <c r="AT200" s="237"/>
    </row>
    <row r="201" spans="1:46" x14ac:dyDescent="0.15">
      <c r="F201" t="s">
        <v>333</v>
      </c>
      <c r="T201" s="59"/>
      <c r="U201" s="146"/>
      <c r="V201" s="146"/>
      <c r="Z201" s="146"/>
      <c r="AD201" s="146"/>
      <c r="AF201" s="237"/>
      <c r="AM201" s="147"/>
      <c r="AN201" s="147"/>
      <c r="AO201" s="147"/>
      <c r="AP201" s="4"/>
      <c r="AQ201" s="12"/>
      <c r="AT201" s="237"/>
    </row>
    <row r="202" spans="1:46" x14ac:dyDescent="0.15">
      <c r="T202" s="59"/>
      <c r="U202" s="146"/>
      <c r="V202" s="146"/>
      <c r="Z202" s="146"/>
      <c r="AD202" s="146"/>
      <c r="AF202" s="237"/>
      <c r="AM202" s="147"/>
      <c r="AN202" s="147"/>
      <c r="AO202" s="147"/>
      <c r="AP202" s="4"/>
      <c r="AQ202" s="12"/>
      <c r="AT202" s="237"/>
    </row>
    <row r="203" spans="1:46" x14ac:dyDescent="0.15">
      <c r="B203" s="9" t="s">
        <v>153</v>
      </c>
      <c r="F203" s="9" t="s">
        <v>154</v>
      </c>
      <c r="K203" t="s">
        <v>116</v>
      </c>
      <c r="T203" s="59"/>
      <c r="U203" s="146"/>
      <c r="V203" s="146"/>
      <c r="Z203" s="146"/>
      <c r="AD203" s="146"/>
      <c r="AF203" s="237"/>
      <c r="AM203" s="147"/>
      <c r="AN203" s="147"/>
      <c r="AO203" s="147"/>
      <c r="AP203" s="4"/>
      <c r="AQ203" s="12"/>
      <c r="AT203" s="237"/>
    </row>
    <row r="204" spans="1:46" x14ac:dyDescent="0.15">
      <c r="Q204" t="s">
        <v>117</v>
      </c>
      <c r="T204" s="59"/>
      <c r="U204" s="146"/>
      <c r="V204" s="146"/>
      <c r="Z204" s="146"/>
      <c r="AD204" s="146"/>
      <c r="AF204" s="237"/>
      <c r="AM204" s="147"/>
      <c r="AN204" s="147"/>
      <c r="AO204" s="147"/>
      <c r="AP204" s="4"/>
      <c r="AQ204" s="12"/>
      <c r="AT204" s="237"/>
    </row>
    <row r="205" spans="1:46" x14ac:dyDescent="0.15">
      <c r="C205" s="2" t="s">
        <v>118</v>
      </c>
      <c r="D205" s="2" t="s">
        <v>155</v>
      </c>
      <c r="F205" s="9" t="s">
        <v>156</v>
      </c>
      <c r="J205" s="2" t="s">
        <v>119</v>
      </c>
      <c r="K205" s="2" t="s">
        <v>120</v>
      </c>
      <c r="L205" s="2" t="s">
        <v>201</v>
      </c>
      <c r="M205" s="2" t="s">
        <v>202</v>
      </c>
      <c r="N205" s="2" t="s">
        <v>203</v>
      </c>
      <c r="O205" s="2" t="s">
        <v>204</v>
      </c>
      <c r="P205" s="2" t="s">
        <v>205</v>
      </c>
      <c r="Q205" s="2" t="s">
        <v>206</v>
      </c>
      <c r="T205" s="59"/>
      <c r="U205" s="146"/>
      <c r="V205" s="146"/>
      <c r="Z205" s="146"/>
      <c r="AD205" s="146"/>
      <c r="AF205" s="237"/>
      <c r="AM205" s="147"/>
      <c r="AN205" s="147"/>
      <c r="AO205" s="147"/>
      <c r="AP205" s="4"/>
      <c r="AQ205" s="12"/>
      <c r="AT205" s="237"/>
    </row>
    <row r="206" spans="1:46" x14ac:dyDescent="0.15">
      <c r="K206" s="2"/>
      <c r="L206" s="2"/>
      <c r="T206" s="59"/>
      <c r="U206" s="146"/>
      <c r="V206" s="146"/>
      <c r="Z206" s="146"/>
      <c r="AD206" s="146"/>
      <c r="AF206" s="237"/>
      <c r="AM206" s="147"/>
      <c r="AN206" s="147"/>
      <c r="AO206" s="147"/>
      <c r="AP206" s="4"/>
      <c r="AQ206" s="12"/>
      <c r="AT206" s="237"/>
    </row>
    <row r="207" spans="1:46" x14ac:dyDescent="0.15">
      <c r="B207" t="s">
        <v>125</v>
      </c>
      <c r="C207" s="6">
        <f>48.27/(1-G228/100)</f>
        <v>70.777126099706749</v>
      </c>
      <c r="F207" t="s">
        <v>207</v>
      </c>
      <c r="G207">
        <v>29</v>
      </c>
      <c r="J207" s="4">
        <v>1</v>
      </c>
      <c r="K207" s="6">
        <v>52.771739130434788</v>
      </c>
      <c r="L207" s="6">
        <f>+J207*K207</f>
        <v>52.771739130434788</v>
      </c>
      <c r="O207" s="6">
        <f>+C207+C209+C214+C215+C216+C40+C47</f>
        <v>639.71893193403866</v>
      </c>
      <c r="P207" s="6">
        <f>+D213+C214+C215+C216+C40+C47</f>
        <v>731.77662541167183</v>
      </c>
      <c r="Q207" s="6">
        <f>+C207+C208+C214+C215+C216+C40+C47</f>
        <v>568.83991768369253</v>
      </c>
      <c r="T207" s="59"/>
      <c r="U207" s="146"/>
      <c r="V207" s="146"/>
      <c r="Z207" s="146"/>
      <c r="AD207" s="146"/>
      <c r="AF207" s="237"/>
      <c r="AM207" s="147"/>
      <c r="AN207" s="147"/>
      <c r="AO207" s="147"/>
      <c r="AP207" s="4"/>
      <c r="AQ207" s="12"/>
      <c r="AT207" s="237"/>
    </row>
    <row r="208" spans="1:46" x14ac:dyDescent="0.15">
      <c r="B208" t="s">
        <v>168</v>
      </c>
      <c r="C208" s="42">
        <f>+(1080/((2.39+23.61*G208)*G207/(G207+7.08+15.75*G208))+(21815/G223))/(1-0.14)</f>
        <v>231.28616617231395</v>
      </c>
      <c r="F208" t="s">
        <v>169</v>
      </c>
      <c r="G208">
        <v>0.214</v>
      </c>
      <c r="J208" s="4">
        <v>0.7</v>
      </c>
      <c r="K208" s="6">
        <v>156.85799574314728</v>
      </c>
      <c r="L208" s="6">
        <f t="shared" ref="L208:L216" si="67">+J208*K208</f>
        <v>109.8005970202031</v>
      </c>
      <c r="T208" s="59"/>
      <c r="U208" s="146"/>
      <c r="V208" s="146"/>
      <c r="Z208" s="146"/>
      <c r="AD208" s="146"/>
      <c r="AF208" s="237"/>
      <c r="AM208" s="147"/>
      <c r="AN208" s="147"/>
      <c r="AO208" s="147"/>
      <c r="AP208" s="4"/>
      <c r="AQ208" s="12"/>
      <c r="AT208" s="237"/>
    </row>
    <row r="209" spans="2:46" x14ac:dyDescent="0.15">
      <c r="B209" t="s">
        <v>170</v>
      </c>
      <c r="C209" s="42">
        <f>+(1080*(6.27+(16.72+155.4*G209)/G210)/(11.94+111*G208+0.096*G210)+(21818/G222))/(1-0.14)</f>
        <v>302.16518042266011</v>
      </c>
      <c r="F209" t="s">
        <v>171</v>
      </c>
      <c r="G209" s="5">
        <v>0.13</v>
      </c>
      <c r="J209" s="4"/>
      <c r="K209" s="6">
        <v>205.93129000104912</v>
      </c>
      <c r="L209" s="6">
        <f t="shared" si="67"/>
        <v>0</v>
      </c>
      <c r="T209" s="59"/>
      <c r="U209" s="146"/>
      <c r="V209" s="146"/>
      <c r="Z209" s="146"/>
      <c r="AD209" s="146"/>
      <c r="AF209" s="237"/>
      <c r="AM209" s="147"/>
      <c r="AN209" s="147"/>
      <c r="AO209" s="147"/>
      <c r="AP209" s="4"/>
      <c r="AQ209" s="12"/>
      <c r="AT209" s="237"/>
    </row>
    <row r="210" spans="2:46" x14ac:dyDescent="0.15">
      <c r="B210" t="s">
        <v>130</v>
      </c>
      <c r="C210" s="45">
        <f>+(1080/((4586+45214*G208)*G207/(11721+1586*G207+12057*G208+G218*G207))+(21815/G223))/(1-0.14)</f>
        <v>255.26740402883118</v>
      </c>
      <c r="F210" t="s">
        <v>172</v>
      </c>
      <c r="G210">
        <v>14.5</v>
      </c>
      <c r="J210" s="4"/>
      <c r="K210" s="6">
        <v>180.1592876190058</v>
      </c>
      <c r="L210" s="6">
        <f t="shared" si="67"/>
        <v>0</v>
      </c>
      <c r="T210" s="59"/>
      <c r="U210" s="146"/>
      <c r="V210" s="146"/>
      <c r="Z210" s="146"/>
      <c r="AD210" s="146"/>
      <c r="AF210" s="237"/>
      <c r="AM210" s="147"/>
      <c r="AN210" s="147"/>
      <c r="AO210" s="147"/>
      <c r="AP210" s="4"/>
      <c r="AQ210" s="12"/>
      <c r="AT210" s="237"/>
    </row>
    <row r="211" spans="2:46" x14ac:dyDescent="0.15">
      <c r="B211" t="s">
        <v>131</v>
      </c>
      <c r="C211" s="47">
        <f>+((2915*(0.55+27*G208/G213)/(G214*134.4))+(21815/G223))/(1-0.14)</f>
        <v>90.043610901840367</v>
      </c>
      <c r="J211" s="4"/>
      <c r="K211" s="6">
        <v>76.451668977901321</v>
      </c>
      <c r="L211" s="6">
        <f t="shared" si="67"/>
        <v>0</v>
      </c>
      <c r="T211" s="59"/>
      <c r="U211" s="146"/>
      <c r="V211" s="146"/>
      <c r="Z211" s="146"/>
      <c r="AD211" s="146"/>
      <c r="AF211" s="237"/>
      <c r="AM211" s="147"/>
      <c r="AN211" s="147"/>
      <c r="AO211" s="147"/>
      <c r="AP211" s="4"/>
      <c r="AQ211" s="12"/>
      <c r="AT211" s="237"/>
    </row>
    <row r="212" spans="2:46" x14ac:dyDescent="0.15">
      <c r="B212" t="s">
        <v>132</v>
      </c>
      <c r="C212" s="48">
        <f>+((2200*(0.66+40.5*G214/G216)/(G214*89.6))+(19990/G223))/(1-0.133)</f>
        <v>168.03067663009759</v>
      </c>
      <c r="F212" s="9" t="s">
        <v>173</v>
      </c>
      <c r="J212" s="4"/>
      <c r="K212" s="6">
        <v>136.30250238150515</v>
      </c>
      <c r="L212" s="6">
        <f t="shared" si="67"/>
        <v>0</v>
      </c>
      <c r="T212" s="59"/>
      <c r="U212" s="146"/>
      <c r="V212" s="146"/>
      <c r="Z212" s="146"/>
      <c r="AD212" s="146"/>
      <c r="AF212" s="237"/>
      <c r="AM212" s="147"/>
      <c r="AN212" s="147"/>
      <c r="AO212" s="147"/>
      <c r="AP212" s="4"/>
      <c r="AQ212" s="12"/>
      <c r="AT212" s="237"/>
    </row>
    <row r="213" spans="2:46" x14ac:dyDescent="0.15">
      <c r="B213" t="s">
        <v>133</v>
      </c>
      <c r="C213" s="15"/>
      <c r="D213">
        <v>465</v>
      </c>
      <c r="F213" t="s">
        <v>122</v>
      </c>
      <c r="G213">
        <v>29</v>
      </c>
      <c r="J213" s="4">
        <v>0.3</v>
      </c>
      <c r="K213" s="6">
        <v>330</v>
      </c>
      <c r="L213" s="6">
        <f t="shared" si="67"/>
        <v>99</v>
      </c>
      <c r="T213" s="59"/>
      <c r="U213" s="146"/>
      <c r="V213" s="146"/>
      <c r="Z213" s="146"/>
      <c r="AD213" s="146"/>
      <c r="AF213" s="237"/>
      <c r="AM213" s="147"/>
      <c r="AN213" s="147"/>
      <c r="AO213" s="147"/>
      <c r="AP213" s="4"/>
      <c r="AQ213" s="12"/>
      <c r="AT213" s="237"/>
    </row>
    <row r="214" spans="2:46" x14ac:dyDescent="0.15">
      <c r="B214" t="s">
        <v>174</v>
      </c>
      <c r="C214" s="49">
        <f>+( G219*77/4.7)/(1-0.14)</f>
        <v>28.574962889658583</v>
      </c>
      <c r="F214" t="s">
        <v>169</v>
      </c>
      <c r="G214">
        <v>0.214</v>
      </c>
      <c r="J214" s="4">
        <v>1</v>
      </c>
      <c r="K214" s="6">
        <v>42</v>
      </c>
      <c r="L214" s="6">
        <f t="shared" si="67"/>
        <v>42</v>
      </c>
      <c r="T214" s="59"/>
      <c r="U214" s="146"/>
      <c r="V214" s="146"/>
      <c r="Z214" s="146"/>
      <c r="AD214" s="146"/>
      <c r="AF214" s="237"/>
      <c r="AM214" s="147"/>
      <c r="AN214" s="147"/>
      <c r="AO214" s="147"/>
      <c r="AP214" s="4"/>
      <c r="AQ214" s="12"/>
      <c r="AT214" s="237"/>
    </row>
    <row r="215" spans="2:46" x14ac:dyDescent="0.15">
      <c r="B215" t="s">
        <v>175</v>
      </c>
      <c r="C215" s="48">
        <f>+((+G220/7.44+10.67)*1.10320284697509+23)/1-0.14</f>
        <v>61.321565836298966</v>
      </c>
      <c r="F215" t="s">
        <v>171</v>
      </c>
      <c r="G215" s="5">
        <v>0.13</v>
      </c>
      <c r="J215" s="4">
        <v>1</v>
      </c>
      <c r="K215" s="6">
        <v>65</v>
      </c>
      <c r="L215" s="6">
        <f t="shared" si="67"/>
        <v>65</v>
      </c>
      <c r="T215" s="59"/>
      <c r="U215" s="146"/>
      <c r="V215" s="146"/>
      <c r="Z215" s="146"/>
      <c r="AD215" s="146"/>
      <c r="AF215" s="237"/>
      <c r="AM215" s="147"/>
      <c r="AN215" s="147"/>
      <c r="AO215" s="147"/>
      <c r="AP215" s="4"/>
      <c r="AQ215" s="12"/>
      <c r="AT215" s="237"/>
    </row>
    <row r="216" spans="2:46" x14ac:dyDescent="0.15">
      <c r="B216" t="s">
        <v>176</v>
      </c>
      <c r="C216" s="48">
        <f>+(G221*943+8670)/G222</f>
        <v>35.590714285714284</v>
      </c>
      <c r="F216" t="s">
        <v>172</v>
      </c>
      <c r="G216">
        <v>14.5</v>
      </c>
      <c r="J216" s="4">
        <v>1</v>
      </c>
      <c r="K216" s="6">
        <v>17</v>
      </c>
      <c r="L216" s="6">
        <f t="shared" si="67"/>
        <v>17</v>
      </c>
      <c r="T216" s="59"/>
      <c r="U216" s="146"/>
      <c r="V216" s="146"/>
      <c r="Z216" s="146"/>
      <c r="AD216" s="146"/>
      <c r="AF216" s="237"/>
      <c r="AM216" s="147"/>
      <c r="AN216" s="147"/>
      <c r="AO216" s="147"/>
      <c r="AP216" s="4"/>
      <c r="AQ216" s="12"/>
      <c r="AT216" s="237"/>
    </row>
    <row r="217" spans="2:46" x14ac:dyDescent="0.15">
      <c r="F217" t="s">
        <v>177</v>
      </c>
      <c r="G217">
        <v>8000</v>
      </c>
      <c r="H217" t="s">
        <v>178</v>
      </c>
      <c r="J217" s="4"/>
      <c r="K217" s="6"/>
      <c r="L217" s="6"/>
      <c r="T217" s="59"/>
      <c r="U217" s="146"/>
      <c r="V217" s="146"/>
      <c r="Z217" s="146"/>
      <c r="AD217" s="146"/>
      <c r="AF217" s="237"/>
      <c r="AM217" s="147"/>
      <c r="AN217" s="147"/>
      <c r="AO217" s="147"/>
      <c r="AP217" s="4"/>
      <c r="AQ217" s="12"/>
      <c r="AT217" s="237"/>
    </row>
    <row r="218" spans="2:46" x14ac:dyDescent="0.15">
      <c r="B218" t="s">
        <v>208</v>
      </c>
      <c r="C218">
        <v>104</v>
      </c>
      <c r="F218" t="s">
        <v>179</v>
      </c>
      <c r="G218">
        <v>800</v>
      </c>
      <c r="J218" s="4">
        <v>0.16</v>
      </c>
      <c r="K218" s="7" t="s">
        <v>209</v>
      </c>
      <c r="L218" s="6"/>
      <c r="M218" s="6">
        <f>+M195*J218</f>
        <v>122.24486000000002</v>
      </c>
      <c r="N218" s="6">
        <f>+J218*L195</f>
        <v>121.977816</v>
      </c>
      <c r="T218" s="59"/>
      <c r="U218" s="146"/>
      <c r="V218" s="146"/>
      <c r="Z218" s="146"/>
      <c r="AD218" s="146"/>
      <c r="AF218" s="237"/>
      <c r="AM218" s="147"/>
      <c r="AN218" s="147"/>
      <c r="AO218" s="147"/>
      <c r="AP218" s="4"/>
      <c r="AQ218" s="12"/>
      <c r="AT218" s="237"/>
    </row>
    <row r="219" spans="2:46" x14ac:dyDescent="0.15">
      <c r="B219" t="s">
        <v>210</v>
      </c>
      <c r="C219">
        <v>124</v>
      </c>
      <c r="F219" t="s">
        <v>0</v>
      </c>
      <c r="G219">
        <v>1.5</v>
      </c>
      <c r="H219" t="s">
        <v>1</v>
      </c>
      <c r="J219" s="4"/>
      <c r="K219" s="6"/>
      <c r="T219" s="59"/>
      <c r="U219" s="146"/>
      <c r="V219" s="146"/>
      <c r="Z219" s="146"/>
      <c r="AD219" s="146"/>
      <c r="AF219" s="237"/>
      <c r="AM219" s="147"/>
      <c r="AN219" s="147"/>
      <c r="AO219" s="147"/>
      <c r="AP219" s="4"/>
      <c r="AQ219" s="12"/>
      <c r="AT219" s="237"/>
    </row>
    <row r="220" spans="2:46" x14ac:dyDescent="0.15">
      <c r="F220" t="s">
        <v>2</v>
      </c>
      <c r="G220">
        <v>180</v>
      </c>
      <c r="H220" t="s">
        <v>3</v>
      </c>
      <c r="J220" s="4"/>
      <c r="K220" s="6"/>
      <c r="L220" s="6">
        <f>SUM(L207:L218)</f>
        <v>385.57233615063785</v>
      </c>
      <c r="M220" s="6">
        <f>+L220+M218</f>
        <v>507.81719615063787</v>
      </c>
      <c r="N220" s="60">
        <f>+L220+N218</f>
        <v>507.55015215063787</v>
      </c>
      <c r="T220" s="59"/>
      <c r="U220" s="146"/>
      <c r="V220" s="146"/>
      <c r="Z220" s="146"/>
      <c r="AD220" s="146"/>
      <c r="AF220" s="237"/>
      <c r="AM220" s="147"/>
      <c r="AN220" s="147"/>
      <c r="AO220" s="147"/>
      <c r="AP220" s="4"/>
      <c r="AQ220" s="12"/>
      <c r="AT220" s="237"/>
    </row>
    <row r="221" spans="2:46" x14ac:dyDescent="0.15">
      <c r="F221" t="s">
        <v>4</v>
      </c>
      <c r="G221">
        <v>255</v>
      </c>
      <c r="H221" t="s">
        <v>5</v>
      </c>
      <c r="K221" s="6"/>
      <c r="T221" s="59"/>
      <c r="U221" s="146"/>
      <c r="V221" s="146"/>
      <c r="Z221" s="146"/>
      <c r="AD221" s="146"/>
      <c r="AF221" s="237"/>
      <c r="AM221" s="147"/>
      <c r="AN221" s="147"/>
      <c r="AO221" s="147"/>
      <c r="AP221" s="4"/>
      <c r="AQ221" s="12"/>
      <c r="AT221" s="237"/>
    </row>
    <row r="222" spans="2:46" x14ac:dyDescent="0.15">
      <c r="F222" t="s">
        <v>6</v>
      </c>
      <c r="G222">
        <v>7000</v>
      </c>
      <c r="H222" t="s">
        <v>7</v>
      </c>
      <c r="K222" s="6"/>
      <c r="T222" s="59"/>
      <c r="U222" s="146"/>
      <c r="V222" s="146"/>
      <c r="Z222" s="146"/>
      <c r="AD222" s="146"/>
      <c r="AF222" s="237"/>
      <c r="AM222" s="147"/>
      <c r="AN222" s="147"/>
      <c r="AO222" s="147"/>
      <c r="AP222" s="4"/>
      <c r="AQ222" s="12"/>
      <c r="AT222" s="237"/>
    </row>
    <row r="223" spans="2:46" x14ac:dyDescent="0.15">
      <c r="F223" t="s">
        <v>8</v>
      </c>
      <c r="G223">
        <v>14528</v>
      </c>
      <c r="H223" t="s">
        <v>9</v>
      </c>
      <c r="K223" s="6"/>
      <c r="T223" s="59"/>
      <c r="U223" s="146"/>
      <c r="V223" s="146"/>
      <c r="Z223" s="146"/>
      <c r="AD223" s="146"/>
      <c r="AF223" s="237"/>
      <c r="AM223" s="147"/>
      <c r="AN223" s="147"/>
      <c r="AO223" s="147"/>
      <c r="AP223" s="4"/>
      <c r="AQ223" s="12"/>
      <c r="AT223" s="237"/>
    </row>
    <row r="224" spans="2:46" x14ac:dyDescent="0.15">
      <c r="K224" s="6"/>
      <c r="T224" s="59"/>
      <c r="U224" s="146"/>
      <c r="V224" s="146"/>
      <c r="Z224" s="146"/>
      <c r="AD224" s="146"/>
      <c r="AF224" s="237"/>
      <c r="AM224" s="147"/>
      <c r="AN224" s="147"/>
      <c r="AO224" s="147"/>
      <c r="AP224" s="4"/>
      <c r="AQ224" s="12"/>
      <c r="AT224" s="237"/>
    </row>
    <row r="225" spans="1:46" x14ac:dyDescent="0.15">
      <c r="T225" s="59"/>
      <c r="U225" s="146"/>
      <c r="V225" s="146"/>
      <c r="Z225" s="146"/>
      <c r="AD225" s="146"/>
      <c r="AF225" s="237"/>
      <c r="AM225" s="147"/>
      <c r="AN225" s="147"/>
      <c r="AO225" s="147"/>
      <c r="AP225" s="4"/>
      <c r="AQ225" s="12"/>
      <c r="AT225" s="237"/>
    </row>
    <row r="226" spans="1:46" x14ac:dyDescent="0.15">
      <c r="F226" t="s">
        <v>211</v>
      </c>
      <c r="T226" s="59"/>
      <c r="U226" s="146"/>
      <c r="V226" s="146"/>
      <c r="Z226" s="146"/>
      <c r="AD226" s="146"/>
      <c r="AF226" s="237"/>
      <c r="AM226" s="147"/>
      <c r="AN226" s="147"/>
      <c r="AO226" s="147"/>
      <c r="AP226" s="4"/>
      <c r="AQ226" s="12"/>
      <c r="AT226" s="237"/>
    </row>
    <row r="227" spans="1:46" x14ac:dyDescent="0.15">
      <c r="T227" s="59"/>
      <c r="U227" s="146"/>
      <c r="V227" s="146"/>
      <c r="Z227" s="146"/>
      <c r="AD227" s="146"/>
      <c r="AF227" s="237"/>
      <c r="AM227" s="147"/>
      <c r="AN227" s="147"/>
      <c r="AO227" s="147"/>
      <c r="AP227" s="4"/>
      <c r="AQ227" s="12"/>
      <c r="AT227" s="237"/>
    </row>
    <row r="228" spans="1:46" x14ac:dyDescent="0.15">
      <c r="F228" t="s">
        <v>212</v>
      </c>
      <c r="G228">
        <v>31.8</v>
      </c>
      <c r="T228" s="59"/>
      <c r="U228" s="146"/>
      <c r="V228" s="146"/>
      <c r="Z228" s="146"/>
      <c r="AD228" s="146"/>
      <c r="AF228" s="237"/>
      <c r="AM228" s="147"/>
      <c r="AN228" s="147"/>
      <c r="AO228" s="147"/>
      <c r="AP228" s="4"/>
      <c r="AQ228" s="12"/>
      <c r="AT228" s="237"/>
    </row>
    <row r="229" spans="1:46" x14ac:dyDescent="0.15">
      <c r="T229" s="59"/>
      <c r="U229" s="146"/>
      <c r="V229" s="146"/>
      <c r="Z229" s="146"/>
      <c r="AD229" s="146"/>
      <c r="AF229" s="237"/>
      <c r="AM229" s="147"/>
      <c r="AN229" s="147"/>
      <c r="AO229" s="147"/>
      <c r="AP229" s="4"/>
      <c r="AQ229" s="12"/>
      <c r="AT229" s="237"/>
    </row>
    <row r="230" spans="1:46" x14ac:dyDescent="0.15">
      <c r="T230" s="59"/>
      <c r="U230" s="146"/>
      <c r="V230" s="146"/>
      <c r="Z230" s="146"/>
      <c r="AD230" s="146"/>
      <c r="AF230" s="237"/>
      <c r="AM230" s="147"/>
      <c r="AN230" s="147"/>
      <c r="AO230" s="147"/>
      <c r="AP230" s="4"/>
      <c r="AQ230" s="12"/>
      <c r="AT230" s="237"/>
    </row>
    <row r="231" spans="1:46" x14ac:dyDescent="0.15">
      <c r="A231" s="61"/>
      <c r="B231" s="62"/>
      <c r="C231" s="63"/>
      <c r="D231" s="64"/>
      <c r="E231" s="65"/>
      <c r="F231" s="65"/>
      <c r="G231" s="64"/>
      <c r="H231" s="64"/>
      <c r="T231" s="59"/>
      <c r="U231" s="146"/>
      <c r="V231" s="146"/>
      <c r="Z231" s="146"/>
      <c r="AD231" s="146"/>
      <c r="AF231" s="237"/>
      <c r="AM231" s="147"/>
      <c r="AN231" s="147"/>
      <c r="AO231" s="147"/>
      <c r="AP231" s="4"/>
      <c r="AQ231" s="12"/>
      <c r="AT231" s="237"/>
    </row>
    <row r="232" spans="1:46" x14ac:dyDescent="0.15">
      <c r="A232" s="61"/>
      <c r="B232" s="62"/>
      <c r="C232" s="66"/>
      <c r="D232" s="67"/>
      <c r="E232" s="68"/>
      <c r="F232" s="65"/>
      <c r="G232" s="64"/>
      <c r="H232" s="64"/>
      <c r="T232" s="59"/>
      <c r="U232" s="146"/>
      <c r="V232" s="146"/>
      <c r="Z232" s="146"/>
      <c r="AD232" s="146"/>
      <c r="AF232" s="237"/>
      <c r="AM232" s="147"/>
      <c r="AN232" s="147"/>
      <c r="AO232" s="147"/>
      <c r="AP232" s="4"/>
      <c r="AQ232" s="12"/>
      <c r="AT232" s="237"/>
    </row>
    <row r="233" spans="1:46" x14ac:dyDescent="0.15">
      <c r="A233" s="61"/>
      <c r="B233" s="62"/>
      <c r="C233" s="66"/>
      <c r="D233" s="69"/>
      <c r="E233" s="68"/>
      <c r="F233" s="65"/>
      <c r="G233" s="64"/>
      <c r="H233" s="64"/>
      <c r="T233" s="59"/>
      <c r="U233" s="146"/>
      <c r="V233" s="146"/>
      <c r="Z233" s="146"/>
      <c r="AD233" s="146"/>
      <c r="AF233" s="237"/>
      <c r="AM233" s="147"/>
      <c r="AN233" s="147"/>
      <c r="AO233" s="147"/>
      <c r="AP233" s="4"/>
      <c r="AQ233" s="12"/>
      <c r="AT233" s="237"/>
    </row>
    <row r="234" spans="1:46" x14ac:dyDescent="0.15">
      <c r="A234" s="61"/>
      <c r="B234" s="62"/>
      <c r="C234" s="66"/>
      <c r="D234" s="70"/>
      <c r="E234" s="68"/>
      <c r="F234" s="65"/>
      <c r="G234" s="64"/>
      <c r="H234" s="64"/>
      <c r="T234" s="59"/>
      <c r="U234" s="146"/>
      <c r="V234" s="146"/>
      <c r="Z234" s="146"/>
      <c r="AD234" s="146"/>
      <c r="AF234" s="237"/>
      <c r="AM234" s="147"/>
      <c r="AN234" s="147"/>
      <c r="AO234" s="147"/>
      <c r="AP234" s="4"/>
      <c r="AQ234" s="12"/>
      <c r="AT234" s="237"/>
    </row>
    <row r="235" spans="1:46" x14ac:dyDescent="0.15">
      <c r="A235" s="61"/>
      <c r="B235" s="62"/>
      <c r="C235" s="71"/>
      <c r="D235" s="64"/>
      <c r="E235" s="65"/>
      <c r="F235" s="65"/>
      <c r="G235" s="64"/>
      <c r="H235" s="64"/>
      <c r="T235" s="59"/>
      <c r="U235" s="146"/>
      <c r="V235" s="146"/>
      <c r="Z235" s="146"/>
      <c r="AD235" s="146"/>
      <c r="AF235" s="237"/>
      <c r="AM235" s="147"/>
      <c r="AN235" s="147"/>
      <c r="AO235" s="147"/>
      <c r="AP235" s="4"/>
      <c r="AQ235" s="12"/>
      <c r="AT235" s="237"/>
    </row>
    <row r="236" spans="1:46" x14ac:dyDescent="0.15">
      <c r="A236" s="72"/>
      <c r="B236" s="73"/>
      <c r="C236" s="73"/>
      <c r="D236" s="73"/>
      <c r="E236" s="73"/>
      <c r="F236" s="73"/>
      <c r="G236" s="74"/>
      <c r="H236" s="74"/>
      <c r="T236" s="59"/>
      <c r="U236" s="146"/>
      <c r="V236" s="146"/>
      <c r="Z236" s="146"/>
      <c r="AD236" s="146"/>
      <c r="AF236" s="237"/>
      <c r="AM236" s="147"/>
      <c r="AN236" s="147"/>
      <c r="AO236" s="147"/>
      <c r="AP236" s="4"/>
      <c r="AQ236" s="12"/>
      <c r="AT236" s="237"/>
    </row>
    <row r="237" spans="1:46" x14ac:dyDescent="0.15">
      <c r="A237" s="75"/>
      <c r="B237" s="73"/>
      <c r="C237" s="73"/>
      <c r="D237" s="73"/>
      <c r="E237" s="73"/>
      <c r="F237" s="73"/>
      <c r="G237" s="74"/>
      <c r="H237" s="74"/>
      <c r="T237" s="59"/>
      <c r="U237" s="146"/>
      <c r="V237" s="146"/>
      <c r="Z237" s="146"/>
      <c r="AD237" s="146"/>
      <c r="AF237" s="237"/>
      <c r="AM237" s="147"/>
      <c r="AN237" s="147"/>
      <c r="AO237" s="147"/>
      <c r="AP237" s="4"/>
      <c r="AQ237" s="12"/>
      <c r="AT237" s="237"/>
    </row>
    <row r="238" spans="1:46" x14ac:dyDescent="0.15">
      <c r="A238" s="72"/>
      <c r="B238" s="73"/>
      <c r="C238" s="73"/>
      <c r="D238" s="73"/>
      <c r="E238" s="73"/>
      <c r="F238" s="73"/>
      <c r="G238" s="74"/>
      <c r="H238" s="74"/>
      <c r="T238" s="59"/>
      <c r="U238" s="146"/>
      <c r="V238" s="146"/>
      <c r="Z238" s="146"/>
      <c r="AD238" s="146"/>
      <c r="AF238" s="237"/>
      <c r="AM238" s="147"/>
      <c r="AN238" s="147"/>
      <c r="AO238" s="147"/>
      <c r="AP238" s="4"/>
      <c r="AQ238" s="12"/>
      <c r="AT238" s="237"/>
    </row>
    <row r="239" spans="1:46" x14ac:dyDescent="0.15">
      <c r="T239" s="59"/>
      <c r="U239" s="146"/>
      <c r="V239" s="146"/>
      <c r="Z239" s="146"/>
      <c r="AD239" s="146"/>
      <c r="AF239" s="237"/>
      <c r="AM239" s="147"/>
      <c r="AN239" s="147"/>
      <c r="AO239" s="147"/>
      <c r="AP239" s="4"/>
      <c r="AQ239" s="12"/>
      <c r="AT239" s="237"/>
    </row>
    <row r="240" spans="1:46" ht="16" x14ac:dyDescent="0.2">
      <c r="A240" s="76"/>
      <c r="B240" s="77"/>
      <c r="C240" s="77"/>
      <c r="D240" s="77"/>
      <c r="E240" s="77"/>
      <c r="F240" s="78"/>
      <c r="H240" s="79"/>
      <c r="J240" s="80"/>
      <c r="T240" s="59"/>
      <c r="U240" s="146"/>
      <c r="V240" s="146"/>
      <c r="Z240" s="146"/>
      <c r="AD240" s="146"/>
      <c r="AF240" s="237"/>
      <c r="AM240" s="147"/>
      <c r="AN240" s="147"/>
      <c r="AO240" s="147"/>
      <c r="AP240" s="4"/>
      <c r="AQ240" s="12"/>
      <c r="AT240" s="237"/>
    </row>
    <row r="241" spans="1:46" x14ac:dyDescent="0.15">
      <c r="A241" s="227"/>
      <c r="B241" s="227"/>
      <c r="C241" s="227"/>
      <c r="D241" s="77"/>
      <c r="E241" s="77"/>
      <c r="H241" s="81"/>
      <c r="J241" s="80"/>
      <c r="T241" s="59"/>
      <c r="U241" s="146"/>
      <c r="V241" s="146"/>
      <c r="Z241" s="146"/>
      <c r="AD241" s="146"/>
      <c r="AF241" s="237"/>
      <c r="AM241" s="147"/>
      <c r="AN241" s="147"/>
      <c r="AO241" s="147"/>
      <c r="AP241" s="4"/>
      <c r="AQ241" s="12"/>
      <c r="AT241" s="237"/>
    </row>
    <row r="242" spans="1:46" x14ac:dyDescent="0.15">
      <c r="A242" s="227"/>
      <c r="B242" s="228"/>
      <c r="C242" s="228"/>
      <c r="H242" s="81"/>
      <c r="J242" s="80"/>
      <c r="T242" s="59"/>
      <c r="U242" s="146"/>
      <c r="V242" s="146"/>
      <c r="Z242" s="146"/>
      <c r="AD242" s="146"/>
      <c r="AF242" s="237"/>
      <c r="AM242" s="147"/>
      <c r="AN242" s="147"/>
      <c r="AO242" s="147"/>
      <c r="AP242" s="4"/>
      <c r="AQ242" s="12"/>
      <c r="AT242" s="237"/>
    </row>
    <row r="243" spans="1:46" x14ac:dyDescent="0.15">
      <c r="A243" s="90"/>
      <c r="B243" s="228"/>
      <c r="C243" s="228"/>
      <c r="I243" s="85"/>
      <c r="J243" s="85"/>
      <c r="T243" s="59"/>
      <c r="U243" s="146"/>
      <c r="V243" s="146"/>
      <c r="Z243" s="146"/>
      <c r="AD243" s="146"/>
      <c r="AF243" s="237"/>
      <c r="AM243" s="147"/>
      <c r="AN243" s="147"/>
      <c r="AO243" s="147"/>
      <c r="AP243" s="4"/>
      <c r="AQ243" s="12"/>
      <c r="AT243" s="237"/>
    </row>
    <row r="244" spans="1:46" x14ac:dyDescent="0.15">
      <c r="A244" s="90"/>
      <c r="B244" s="228"/>
      <c r="C244" s="228"/>
      <c r="I244" s="87"/>
      <c r="J244" s="85"/>
      <c r="T244" s="59"/>
      <c r="U244" s="146"/>
      <c r="V244" s="146"/>
      <c r="Z244" s="146"/>
      <c r="AD244" s="146"/>
      <c r="AF244" s="237"/>
      <c r="AM244" s="147"/>
      <c r="AN244" s="147"/>
      <c r="AO244" s="147"/>
      <c r="AP244" s="4"/>
      <c r="AQ244" s="12"/>
      <c r="AT244" s="237"/>
    </row>
    <row r="245" spans="1:46" x14ac:dyDescent="0.15">
      <c r="A245" s="90"/>
      <c r="B245" s="90"/>
      <c r="C245" s="90"/>
      <c r="I245" s="87"/>
      <c r="J245" s="85"/>
      <c r="T245" s="59"/>
      <c r="U245" s="146"/>
      <c r="V245" s="146"/>
      <c r="Z245" s="146"/>
      <c r="AD245" s="146"/>
      <c r="AF245" s="237"/>
      <c r="AM245" s="147"/>
      <c r="AN245" s="147"/>
      <c r="AO245" s="147"/>
      <c r="AP245" s="4"/>
      <c r="AQ245" s="12"/>
      <c r="AT245" s="237"/>
    </row>
    <row r="246" spans="1:46" x14ac:dyDescent="0.15">
      <c r="A246" s="89"/>
      <c r="B246" s="89"/>
      <c r="C246" s="90"/>
      <c r="D246" s="91"/>
      <c r="E246" s="91"/>
      <c r="F246" s="92"/>
      <c r="G246" s="92"/>
      <c r="H246" s="92"/>
      <c r="I246" s="93"/>
      <c r="J246" s="89"/>
      <c r="K246" s="92"/>
      <c r="L246" s="92"/>
      <c r="M246" s="92"/>
      <c r="T246" s="59"/>
      <c r="U246" s="146"/>
      <c r="V246" s="146"/>
      <c r="Z246" s="146"/>
      <c r="AD246" s="146"/>
      <c r="AF246" s="237"/>
      <c r="AM246" s="147"/>
      <c r="AN246" s="147"/>
      <c r="AO246" s="147"/>
      <c r="AP246" s="4"/>
      <c r="AQ246" s="12"/>
      <c r="AT246" s="237"/>
    </row>
    <row r="247" spans="1:46" x14ac:dyDescent="0.15">
      <c r="A247" s="90"/>
      <c r="B247" s="229"/>
      <c r="C247" s="95"/>
      <c r="D247" s="91"/>
      <c r="E247" s="91"/>
      <c r="F247" s="92"/>
      <c r="G247" s="92"/>
      <c r="H247" s="92"/>
      <c r="I247" s="93"/>
      <c r="J247" s="89"/>
      <c r="K247" s="92"/>
      <c r="L247" s="92"/>
      <c r="M247" s="92"/>
      <c r="T247" s="59"/>
      <c r="U247" s="146"/>
      <c r="V247" s="146"/>
      <c r="Z247" s="146"/>
      <c r="AD247" s="146"/>
      <c r="AF247" s="237"/>
      <c r="AM247" s="147"/>
      <c r="AN247" s="147"/>
      <c r="AO247" s="147"/>
      <c r="AP247" s="4"/>
      <c r="AQ247" s="12"/>
      <c r="AT247" s="237"/>
    </row>
    <row r="248" spans="1:46" x14ac:dyDescent="0.15">
      <c r="A248" s="90"/>
      <c r="B248" s="90"/>
      <c r="C248" s="90"/>
      <c r="D248" s="96"/>
      <c r="E248" s="96"/>
      <c r="F248" s="96"/>
      <c r="G248" s="96"/>
      <c r="H248" s="96"/>
      <c r="I248" s="96"/>
      <c r="J248" s="96"/>
      <c r="K248" s="96"/>
      <c r="L248" s="96"/>
      <c r="T248" s="59"/>
      <c r="U248" s="146"/>
      <c r="V248" s="146"/>
      <c r="Z248" s="146"/>
      <c r="AD248" s="146"/>
      <c r="AF248" s="237"/>
      <c r="AM248" s="147"/>
      <c r="AN248" s="147"/>
      <c r="AO248" s="147"/>
      <c r="AP248" s="4"/>
      <c r="AQ248" s="12"/>
      <c r="AT248" s="237"/>
    </row>
    <row r="249" spans="1:46" x14ac:dyDescent="0.15">
      <c r="A249" s="95"/>
      <c r="B249" s="95"/>
      <c r="C249" s="95"/>
      <c r="D249" s="96"/>
      <c r="E249" s="96"/>
      <c r="F249" s="96"/>
      <c r="G249" s="96"/>
      <c r="H249" s="96"/>
      <c r="I249" s="96"/>
      <c r="J249" s="96"/>
      <c r="K249" s="96"/>
      <c r="T249" s="59"/>
      <c r="U249" s="146"/>
      <c r="V249" s="146"/>
      <c r="Z249" s="146"/>
      <c r="AD249" s="146"/>
      <c r="AF249" s="237"/>
      <c r="AM249" s="147"/>
      <c r="AN249" s="147"/>
      <c r="AO249" s="147"/>
      <c r="AP249" s="4"/>
      <c r="AQ249" s="12"/>
      <c r="AT249" s="237"/>
    </row>
    <row r="250" spans="1:46" x14ac:dyDescent="0.15">
      <c r="A250" s="221"/>
      <c r="B250" s="223"/>
      <c r="C250" s="223"/>
      <c r="D250" s="221"/>
      <c r="E250" s="221"/>
      <c r="F250" s="221"/>
      <c r="G250" s="221"/>
      <c r="H250" s="221"/>
      <c r="I250" s="221"/>
      <c r="J250" s="221"/>
      <c r="K250" s="221"/>
      <c r="L250" s="221"/>
      <c r="T250" s="59"/>
      <c r="U250" s="146"/>
      <c r="V250" s="146"/>
      <c r="Z250" s="146"/>
      <c r="AD250" s="146"/>
      <c r="AF250" s="237"/>
      <c r="AM250" s="147"/>
      <c r="AN250" s="147"/>
      <c r="AO250" s="147"/>
      <c r="AP250" s="4"/>
      <c r="AQ250" s="12"/>
      <c r="AT250" s="237"/>
    </row>
    <row r="251" spans="1:46" ht="16" x14ac:dyDescent="0.2">
      <c r="A251" s="224"/>
      <c r="B251" s="225"/>
      <c r="C251" s="225"/>
      <c r="D251" s="221"/>
      <c r="E251" s="221"/>
      <c r="F251" s="221"/>
      <c r="G251" s="221"/>
      <c r="H251" s="221"/>
      <c r="I251" s="221"/>
      <c r="J251" s="221"/>
      <c r="K251" s="221"/>
      <c r="L251" s="221"/>
      <c r="T251" s="59"/>
      <c r="U251" s="146"/>
      <c r="V251" s="146"/>
      <c r="Z251" s="146"/>
      <c r="AD251" s="146"/>
      <c r="AF251" s="237"/>
      <c r="AM251" s="147"/>
      <c r="AN251" s="147"/>
      <c r="AO251" s="147"/>
      <c r="AP251" s="4"/>
      <c r="AQ251" s="12"/>
      <c r="AT251" s="237"/>
    </row>
    <row r="252" spans="1:46" x14ac:dyDescent="0.15">
      <c r="A252" s="219"/>
      <c r="B252" s="220"/>
      <c r="C252" s="220"/>
      <c r="D252" s="221"/>
      <c r="E252" s="221"/>
      <c r="F252" s="221"/>
      <c r="G252" s="221"/>
      <c r="H252" s="221"/>
      <c r="I252" s="221"/>
      <c r="J252" s="221"/>
      <c r="K252" s="221"/>
      <c r="L252" s="221"/>
      <c r="M252" s="92"/>
      <c r="T252" s="59"/>
      <c r="U252" s="146"/>
      <c r="V252" s="146"/>
      <c r="Z252" s="146"/>
      <c r="AD252" s="146"/>
      <c r="AF252" s="237"/>
      <c r="AM252" s="147"/>
      <c r="AN252" s="147"/>
      <c r="AO252" s="147"/>
      <c r="AP252" s="4"/>
      <c r="AQ252" s="12"/>
      <c r="AT252" s="237"/>
    </row>
    <row r="253" spans="1:46" x14ac:dyDescent="0.15">
      <c r="A253" s="221"/>
      <c r="B253" s="221"/>
      <c r="C253" s="221"/>
      <c r="D253" s="221"/>
      <c r="E253" s="221"/>
      <c r="F253" s="221"/>
      <c r="G253" s="221"/>
      <c r="H253" s="221"/>
      <c r="I253" s="221"/>
      <c r="J253" s="221"/>
      <c r="K253" s="221"/>
      <c r="L253" s="221"/>
      <c r="T253" s="59"/>
      <c r="U253" s="146"/>
      <c r="V253" s="146"/>
      <c r="Z253" s="146"/>
      <c r="AD253" s="146"/>
      <c r="AF253" s="237"/>
      <c r="AM253" s="147"/>
      <c r="AN253" s="147"/>
      <c r="AO253" s="147"/>
      <c r="AP253" s="4"/>
      <c r="AQ253" s="12"/>
      <c r="AT253" s="237"/>
    </row>
    <row r="254" spans="1:46" x14ac:dyDescent="0.15">
      <c r="A254" s="219"/>
      <c r="B254" s="221"/>
      <c r="C254" s="221"/>
      <c r="D254" s="221"/>
      <c r="E254" s="221"/>
      <c r="F254" s="221"/>
      <c r="G254" s="221"/>
      <c r="H254" s="221"/>
      <c r="I254" s="221"/>
      <c r="J254" s="221"/>
      <c r="K254" s="221"/>
      <c r="L254" s="221"/>
      <c r="T254" s="59"/>
      <c r="U254" s="146"/>
      <c r="V254" s="146"/>
      <c r="Z254" s="146"/>
      <c r="AD254" s="146"/>
      <c r="AF254" s="237"/>
      <c r="AM254" s="147"/>
      <c r="AN254" s="147"/>
      <c r="AO254" s="147"/>
      <c r="AP254" s="4"/>
      <c r="AQ254" s="12"/>
      <c r="AT254" s="237"/>
    </row>
    <row r="255" spans="1:46" x14ac:dyDescent="0.15">
      <c r="A255" s="221"/>
      <c r="B255" s="223"/>
      <c r="C255" s="221"/>
      <c r="D255" s="221"/>
      <c r="E255" s="221"/>
      <c r="F255" s="221"/>
      <c r="G255" s="221"/>
      <c r="H255" s="221"/>
      <c r="I255" s="221"/>
      <c r="J255" s="221"/>
      <c r="K255" s="221"/>
      <c r="L255" s="221"/>
      <c r="T255" s="59"/>
      <c r="U255" s="146"/>
      <c r="V255" s="146"/>
      <c r="Z255" s="146"/>
      <c r="AD255" s="146"/>
      <c r="AF255" s="237"/>
      <c r="AM255" s="147"/>
      <c r="AN255" s="147"/>
      <c r="AO255" s="147"/>
      <c r="AP255" s="4"/>
      <c r="AQ255" s="12"/>
      <c r="AT255" s="237"/>
    </row>
    <row r="256" spans="1:46" x14ac:dyDescent="0.15">
      <c r="A256" s="221"/>
      <c r="B256" s="223"/>
      <c r="C256" s="221"/>
      <c r="D256" s="221"/>
      <c r="E256" s="221"/>
      <c r="F256" s="221"/>
      <c r="G256" s="221"/>
      <c r="H256" s="221"/>
      <c r="I256" s="221"/>
      <c r="J256" s="221"/>
      <c r="K256" s="221"/>
      <c r="L256" s="221"/>
      <c r="T256" s="59"/>
      <c r="U256" s="146"/>
      <c r="V256" s="146"/>
      <c r="Y256" s="146"/>
      <c r="AD256" s="146"/>
      <c r="AF256" s="237"/>
      <c r="AM256" s="147"/>
      <c r="AN256" s="147"/>
      <c r="AO256" s="147"/>
      <c r="AP256" s="4"/>
      <c r="AQ256" s="12"/>
      <c r="AT256" s="237"/>
    </row>
    <row r="257" spans="1:46" x14ac:dyDescent="0.15">
      <c r="A257" s="221"/>
      <c r="B257" s="223"/>
      <c r="C257" s="221"/>
      <c r="D257" s="221"/>
      <c r="E257" s="221"/>
      <c r="F257" s="221"/>
      <c r="G257" s="221"/>
      <c r="H257" s="221"/>
      <c r="I257" s="221"/>
      <c r="J257" s="221"/>
      <c r="K257" s="221"/>
      <c r="L257" s="221"/>
      <c r="T257" s="59"/>
      <c r="U257" s="146"/>
      <c r="V257" s="146"/>
      <c r="Y257" s="146"/>
      <c r="AD257" s="146"/>
      <c r="AF257" s="237"/>
      <c r="AM257" s="147"/>
      <c r="AN257" s="147"/>
      <c r="AO257" s="147"/>
      <c r="AP257" s="4"/>
      <c r="AQ257" s="12"/>
      <c r="AT257" s="237"/>
    </row>
    <row r="258" spans="1:46" x14ac:dyDescent="0.15">
      <c r="A258" s="221"/>
      <c r="B258" s="223"/>
      <c r="C258" s="221"/>
      <c r="D258" s="221"/>
      <c r="E258" s="221"/>
      <c r="F258" s="221"/>
      <c r="G258" s="221"/>
      <c r="H258" s="221"/>
      <c r="I258" s="221"/>
      <c r="J258" s="221"/>
      <c r="K258" s="221"/>
      <c r="L258" s="221"/>
      <c r="T258" s="59"/>
      <c r="U258" s="146"/>
      <c r="V258" s="146"/>
      <c r="Y258" s="146"/>
      <c r="AD258" s="146"/>
      <c r="AF258" s="237"/>
      <c r="AM258" s="147"/>
      <c r="AN258" s="147"/>
      <c r="AO258" s="147"/>
      <c r="AP258" s="4"/>
      <c r="AQ258" s="12"/>
      <c r="AT258" s="237"/>
    </row>
    <row r="259" spans="1:46" x14ac:dyDescent="0.15">
      <c r="A259" s="221"/>
      <c r="B259" s="223"/>
      <c r="C259" s="221"/>
      <c r="D259" s="221"/>
      <c r="E259" s="221"/>
      <c r="F259" s="221"/>
      <c r="G259" s="221"/>
      <c r="H259" s="221"/>
      <c r="I259" s="221"/>
      <c r="J259" s="221"/>
      <c r="K259" s="221"/>
      <c r="L259" s="221"/>
      <c r="T259" s="59"/>
      <c r="U259" s="146"/>
      <c r="V259" s="146"/>
      <c r="Y259" s="146"/>
      <c r="AD259" s="146"/>
      <c r="AF259" s="237"/>
      <c r="AM259" s="147"/>
      <c r="AN259" s="147"/>
      <c r="AO259" s="147"/>
      <c r="AP259" s="4"/>
      <c r="AQ259" s="12"/>
      <c r="AT259" s="237"/>
    </row>
    <row r="260" spans="1:46" x14ac:dyDescent="0.15">
      <c r="A260" s="221"/>
      <c r="B260" s="223"/>
      <c r="C260" s="221"/>
      <c r="D260" s="221"/>
      <c r="E260" s="221"/>
      <c r="F260" s="221"/>
      <c r="G260" s="221"/>
      <c r="H260" s="221"/>
      <c r="I260" s="221"/>
      <c r="J260" s="221"/>
      <c r="K260" s="221"/>
      <c r="L260" s="221"/>
      <c r="T260" s="59"/>
      <c r="U260" s="146"/>
      <c r="V260" s="146"/>
      <c r="Y260" s="146"/>
      <c r="AD260" s="146"/>
      <c r="AF260" s="237"/>
      <c r="AM260" s="147"/>
      <c r="AN260" s="147"/>
      <c r="AO260" s="147"/>
      <c r="AP260" s="4"/>
      <c r="AQ260" s="12"/>
      <c r="AT260" s="237"/>
    </row>
    <row r="261" spans="1:46" ht="16" x14ac:dyDescent="0.2">
      <c r="A261" s="224"/>
      <c r="B261" s="225"/>
      <c r="C261" s="221"/>
      <c r="D261" s="221"/>
      <c r="E261" s="221"/>
      <c r="F261" s="221"/>
      <c r="G261" s="221"/>
      <c r="H261" s="221"/>
      <c r="I261" s="221"/>
      <c r="J261" s="221"/>
      <c r="K261" s="221"/>
      <c r="L261" s="221"/>
      <c r="T261" s="59"/>
      <c r="U261" s="146"/>
      <c r="V261" s="146"/>
      <c r="Y261" s="146"/>
      <c r="AD261" s="146"/>
      <c r="AF261" s="237"/>
      <c r="AM261" s="147"/>
      <c r="AN261" s="147"/>
      <c r="AO261" s="147"/>
      <c r="AP261" s="4"/>
      <c r="AQ261" s="12"/>
      <c r="AT261" s="237"/>
    </row>
    <row r="262" spans="1:46" x14ac:dyDescent="0.15">
      <c r="A262" s="221"/>
      <c r="B262" s="221"/>
      <c r="C262" s="221"/>
      <c r="D262" s="221"/>
      <c r="E262" s="221"/>
      <c r="F262" s="221"/>
      <c r="G262" s="221"/>
      <c r="H262" s="221"/>
      <c r="I262" s="221"/>
      <c r="J262" s="221"/>
      <c r="K262" s="221"/>
      <c r="L262" s="221"/>
      <c r="T262" s="59"/>
      <c r="U262" s="146"/>
      <c r="V262" s="146"/>
      <c r="Y262" s="146"/>
      <c r="AD262" s="146"/>
      <c r="AF262" s="237"/>
      <c r="AM262" s="147"/>
      <c r="AN262" s="147"/>
      <c r="AO262" s="147"/>
      <c r="AP262" s="4"/>
      <c r="AQ262" s="12"/>
      <c r="AT262" s="237"/>
    </row>
    <row r="263" spans="1:46" x14ac:dyDescent="0.15">
      <c r="A263" s="219"/>
      <c r="B263" s="221"/>
      <c r="C263" s="219"/>
      <c r="D263" s="219"/>
      <c r="E263" s="219"/>
      <c r="F263" s="219"/>
      <c r="G263" s="219"/>
      <c r="H263" s="219"/>
      <c r="I263" s="221"/>
      <c r="J263" s="221"/>
      <c r="K263" s="221"/>
      <c r="L263" s="221"/>
      <c r="M263" s="96"/>
      <c r="T263" s="59"/>
      <c r="U263" s="146"/>
      <c r="V263" s="146"/>
      <c r="W263" s="146"/>
      <c r="AD263" s="146"/>
      <c r="AF263" s="237"/>
      <c r="AM263" s="147"/>
      <c r="AN263" s="147"/>
      <c r="AO263" s="147"/>
      <c r="AP263" s="4"/>
      <c r="AQ263" s="12"/>
      <c r="AT263" s="237"/>
    </row>
    <row r="264" spans="1:46" x14ac:dyDescent="0.15">
      <c r="A264" s="221"/>
      <c r="B264" s="219"/>
      <c r="C264" s="219"/>
      <c r="D264" s="219"/>
      <c r="E264" s="219"/>
      <c r="F264" s="222"/>
      <c r="G264" s="219"/>
      <c r="H264" s="219"/>
      <c r="I264" s="221"/>
      <c r="J264" s="221"/>
      <c r="K264" s="221"/>
      <c r="L264" s="221"/>
      <c r="M264" s="96"/>
      <c r="T264" s="59"/>
      <c r="U264" s="146"/>
      <c r="V264" s="146"/>
      <c r="W264" s="146"/>
      <c r="AD264" s="146"/>
      <c r="AF264" s="237"/>
      <c r="AM264" s="147"/>
      <c r="AN264" s="147"/>
      <c r="AO264" s="147"/>
      <c r="AP264" s="4"/>
      <c r="AQ264" s="12"/>
      <c r="AT264" s="237"/>
    </row>
    <row r="265" spans="1:46" x14ac:dyDescent="0.15">
      <c r="A265" s="221"/>
      <c r="B265" s="223"/>
      <c r="C265" s="223"/>
      <c r="D265" s="223"/>
      <c r="E265" s="223"/>
      <c r="F265" s="223"/>
      <c r="G265" s="223"/>
      <c r="H265" s="223"/>
      <c r="I265" s="221"/>
      <c r="J265" s="221"/>
      <c r="K265" s="221"/>
      <c r="L265" s="221"/>
      <c r="M265" s="96"/>
      <c r="T265" s="59"/>
      <c r="U265" s="146"/>
      <c r="V265" s="146"/>
      <c r="W265" s="146"/>
      <c r="AD265" s="146"/>
      <c r="AF265" s="237"/>
      <c r="AM265" s="147"/>
      <c r="AN265" s="147"/>
      <c r="AO265" s="147"/>
      <c r="AP265" s="4"/>
      <c r="AQ265" s="12"/>
      <c r="AT265" s="237"/>
    </row>
    <row r="266" spans="1:46" x14ac:dyDescent="0.15">
      <c r="A266" s="221"/>
      <c r="B266" s="223"/>
      <c r="C266" s="226"/>
      <c r="D266" s="223"/>
      <c r="E266" s="226"/>
      <c r="F266" s="226"/>
      <c r="G266" s="226"/>
      <c r="H266" s="226"/>
      <c r="I266" s="221"/>
      <c r="J266" s="221"/>
      <c r="K266" s="221"/>
      <c r="L266" s="221"/>
      <c r="M266" s="96"/>
      <c r="T266" s="59"/>
      <c r="U266" s="146"/>
      <c r="V266" s="146"/>
      <c r="W266" s="146"/>
      <c r="AD266" s="146"/>
      <c r="AF266" s="237"/>
      <c r="AM266" s="147"/>
      <c r="AN266" s="147"/>
      <c r="AO266" s="147"/>
      <c r="AP266" s="4"/>
      <c r="AQ266" s="12"/>
      <c r="AT266" s="237"/>
    </row>
    <row r="267" spans="1:46" x14ac:dyDescent="0.15">
      <c r="A267" s="221"/>
      <c r="B267" s="223"/>
      <c r="C267" s="223"/>
      <c r="D267" s="223"/>
      <c r="E267" s="223"/>
      <c r="F267" s="223"/>
      <c r="G267" s="223"/>
      <c r="H267" s="223"/>
      <c r="I267" s="221"/>
      <c r="J267" s="221"/>
      <c r="K267" s="221"/>
      <c r="L267" s="221"/>
      <c r="M267" s="96"/>
      <c r="T267" s="59"/>
      <c r="U267" s="146"/>
      <c r="V267" s="146"/>
      <c r="W267" s="146"/>
      <c r="AD267" s="146"/>
      <c r="AF267" s="237"/>
      <c r="AM267" s="147"/>
      <c r="AN267" s="147"/>
      <c r="AO267" s="147"/>
      <c r="AP267" s="4"/>
      <c r="AQ267" s="12"/>
      <c r="AT267" s="237"/>
    </row>
    <row r="268" spans="1:46" x14ac:dyDescent="0.15">
      <c r="A268" s="221"/>
      <c r="B268" s="223"/>
      <c r="C268" s="223"/>
      <c r="D268" s="223"/>
      <c r="E268" s="223"/>
      <c r="F268" s="223"/>
      <c r="G268" s="223"/>
      <c r="H268" s="223"/>
      <c r="I268" s="221"/>
      <c r="J268" s="221"/>
      <c r="K268" s="221"/>
      <c r="L268" s="221"/>
      <c r="M268" s="96"/>
      <c r="T268" s="59"/>
      <c r="U268" s="146"/>
      <c r="V268" s="146"/>
      <c r="W268" s="146"/>
      <c r="AD268" s="146"/>
      <c r="AF268" s="237"/>
      <c r="AM268" s="147"/>
      <c r="AN268" s="147"/>
      <c r="AO268" s="147"/>
      <c r="AP268" s="4"/>
      <c r="AQ268" s="12"/>
      <c r="AT268" s="237"/>
    </row>
    <row r="269" spans="1:46" x14ac:dyDescent="0.15">
      <c r="A269" s="221"/>
      <c r="B269" s="223"/>
      <c r="C269" s="223"/>
      <c r="D269" s="223"/>
      <c r="E269" s="223"/>
      <c r="F269" s="223"/>
      <c r="G269" s="223"/>
      <c r="H269" s="223"/>
      <c r="I269" s="221"/>
      <c r="J269" s="221"/>
      <c r="K269" s="221"/>
      <c r="L269" s="221"/>
      <c r="M269" s="96"/>
      <c r="T269" s="59"/>
      <c r="U269" s="146"/>
      <c r="V269" s="146"/>
      <c r="W269" s="146"/>
      <c r="AD269" s="146"/>
      <c r="AF269" s="237"/>
      <c r="AM269" s="147"/>
      <c r="AN269" s="147"/>
      <c r="AO269" s="147"/>
      <c r="AP269" s="4"/>
      <c r="AQ269" s="12"/>
      <c r="AT269" s="237"/>
    </row>
    <row r="270" spans="1:46" ht="16" x14ac:dyDescent="0.2">
      <c r="A270" s="224"/>
      <c r="B270" s="225"/>
      <c r="C270" s="225"/>
      <c r="D270" s="225"/>
      <c r="E270" s="225"/>
      <c r="F270" s="225"/>
      <c r="G270" s="225"/>
      <c r="H270" s="225"/>
      <c r="I270" s="221"/>
      <c r="J270" s="221"/>
      <c r="K270" s="221"/>
      <c r="L270" s="221"/>
      <c r="M270" s="90"/>
      <c r="T270" s="59"/>
      <c r="U270" s="146"/>
      <c r="V270" s="146"/>
      <c r="W270" s="146"/>
      <c r="AD270" s="146"/>
      <c r="AF270" s="237"/>
      <c r="AM270" s="147"/>
      <c r="AN270" s="147"/>
      <c r="AO270" s="147"/>
      <c r="AP270" s="4"/>
      <c r="AQ270" s="12"/>
      <c r="AT270" s="237"/>
    </row>
    <row r="271" spans="1:46" x14ac:dyDescent="0.15">
      <c r="A271" s="133"/>
      <c r="I271" s="96"/>
      <c r="J271" s="89"/>
      <c r="K271" s="90"/>
      <c r="L271" s="90"/>
      <c r="M271" s="90"/>
      <c r="T271" s="59"/>
      <c r="U271" s="146"/>
      <c r="V271" s="146"/>
      <c r="W271" s="146"/>
      <c r="AD271" s="146"/>
      <c r="AF271" s="237"/>
      <c r="AM271" s="147"/>
      <c r="AN271" s="147"/>
      <c r="AO271" s="147"/>
      <c r="AP271" s="4"/>
      <c r="AQ271" s="12"/>
      <c r="AT271" s="237"/>
    </row>
    <row r="272" spans="1:46" x14ac:dyDescent="0.15">
      <c r="I272" s="96"/>
      <c r="T272" s="59"/>
      <c r="U272" s="146"/>
      <c r="V272" s="146"/>
      <c r="W272" s="146"/>
      <c r="AD272" s="146"/>
      <c r="AF272" s="237"/>
      <c r="AM272" s="147"/>
      <c r="AN272" s="147"/>
      <c r="AO272" s="147"/>
      <c r="AP272" s="4"/>
      <c r="AQ272" s="12"/>
      <c r="AT272" s="237"/>
    </row>
    <row r="273" spans="1:46" x14ac:dyDescent="0.15">
      <c r="T273" s="59"/>
      <c r="U273" s="146"/>
      <c r="V273" s="146"/>
      <c r="W273" s="146"/>
      <c r="AD273" s="146"/>
      <c r="AF273" s="237"/>
      <c r="AM273" s="147"/>
      <c r="AN273" s="147"/>
      <c r="AO273" s="147"/>
      <c r="AP273" s="4"/>
      <c r="AQ273" s="12"/>
      <c r="AT273" s="237"/>
    </row>
    <row r="274" spans="1:46" x14ac:dyDescent="0.15">
      <c r="A274" s="148" t="s">
        <v>244</v>
      </c>
      <c r="B274" s="149"/>
      <c r="C274" s="149"/>
      <c r="D274" s="150"/>
      <c r="E274" s="149"/>
      <c r="F274" s="151" t="s">
        <v>245</v>
      </c>
      <c r="G274" s="152"/>
      <c r="H274" s="153" t="s">
        <v>246</v>
      </c>
      <c r="I274" s="152"/>
      <c r="T274" s="59"/>
      <c r="U274" s="146"/>
      <c r="V274" s="146"/>
      <c r="W274" s="146"/>
      <c r="AD274" s="146"/>
      <c r="AF274" s="237"/>
      <c r="AM274" s="147"/>
      <c r="AN274" s="147"/>
      <c r="AO274" s="147"/>
      <c r="AP274" s="4"/>
      <c r="AQ274" s="12"/>
      <c r="AT274" s="237"/>
    </row>
    <row r="275" spans="1:46" x14ac:dyDescent="0.15">
      <c r="A275" s="62" t="s">
        <v>247</v>
      </c>
      <c r="B275" s="154" t="s">
        <v>248</v>
      </c>
      <c r="C275" s="149"/>
      <c r="D275" s="149"/>
      <c r="E275" s="149"/>
      <c r="F275" s="149"/>
      <c r="G275" s="150"/>
      <c r="H275" s="150"/>
      <c r="I275" s="150"/>
      <c r="T275" s="59"/>
      <c r="U275" s="146"/>
      <c r="V275" s="146"/>
      <c r="W275" s="146"/>
      <c r="AD275" s="146"/>
      <c r="AF275" s="237"/>
      <c r="AM275" s="147"/>
      <c r="AN275" s="147"/>
      <c r="AO275" s="147"/>
      <c r="AP275" s="4"/>
      <c r="AQ275" s="12"/>
      <c r="AT275" s="237"/>
    </row>
    <row r="276" spans="1:46" ht="78" x14ac:dyDescent="0.15">
      <c r="A276" s="155" t="s">
        <v>249</v>
      </c>
      <c r="B276" s="62" t="s">
        <v>250</v>
      </c>
      <c r="C276" s="156" t="s">
        <v>251</v>
      </c>
      <c r="D276" s="157" t="s">
        <v>252</v>
      </c>
      <c r="E276" s="157" t="s">
        <v>253</v>
      </c>
      <c r="F276" s="150"/>
      <c r="G276" s="158"/>
      <c r="H276" s="158"/>
      <c r="I276" s="158"/>
      <c r="T276" s="59"/>
      <c r="U276" s="146"/>
      <c r="V276" s="146"/>
      <c r="W276" s="146"/>
      <c r="AD276" s="146"/>
      <c r="AF276" s="237"/>
      <c r="AM276" s="147"/>
      <c r="AN276" s="147"/>
      <c r="AO276" s="147"/>
      <c r="AP276" s="4"/>
      <c r="AQ276" s="12"/>
      <c r="AT276" s="237"/>
    </row>
    <row r="277" spans="1:46" x14ac:dyDescent="0.15">
      <c r="A277" s="61">
        <v>39773</v>
      </c>
      <c r="B277" s="62">
        <v>2011</v>
      </c>
      <c r="C277" s="155" t="s">
        <v>254</v>
      </c>
      <c r="D277" s="159">
        <v>1240.27</v>
      </c>
      <c r="E277" s="160">
        <v>254.27</v>
      </c>
      <c r="F277" s="161"/>
      <c r="G277" s="162"/>
      <c r="H277" s="163"/>
      <c r="I277" s="162"/>
      <c r="T277" s="59"/>
      <c r="U277" s="146"/>
      <c r="V277" s="146"/>
      <c r="W277" s="146"/>
      <c r="AD277" s="146"/>
      <c r="AF277" s="237"/>
      <c r="AM277" s="147"/>
      <c r="AN277" s="147"/>
      <c r="AO277" s="147"/>
      <c r="AP277" s="4"/>
      <c r="AQ277" s="12"/>
      <c r="AT277" s="237"/>
    </row>
    <row r="278" spans="1:46" x14ac:dyDescent="0.15">
      <c r="A278" s="61">
        <v>39773</v>
      </c>
      <c r="B278" s="62">
        <v>2011</v>
      </c>
      <c r="C278" s="155" t="s">
        <v>255</v>
      </c>
      <c r="D278" s="159">
        <v>521</v>
      </c>
      <c r="E278" s="160">
        <v>261.37</v>
      </c>
      <c r="F278" s="161"/>
      <c r="G278" s="162"/>
      <c r="H278" s="163"/>
      <c r="I278" s="162"/>
      <c r="T278" s="59"/>
      <c r="U278" s="146"/>
      <c r="V278" s="146"/>
      <c r="W278" s="146"/>
      <c r="AD278" s="146"/>
      <c r="AF278" s="237"/>
      <c r="AM278" s="147"/>
      <c r="AN278" s="147"/>
      <c r="AO278" s="147"/>
      <c r="AP278" s="4"/>
      <c r="AQ278" s="12"/>
      <c r="AT278" s="237"/>
    </row>
    <row r="279" spans="1:46" x14ac:dyDescent="0.15">
      <c r="A279" s="61">
        <v>39773</v>
      </c>
      <c r="B279" s="62">
        <v>2011</v>
      </c>
      <c r="C279" s="155" t="s">
        <v>256</v>
      </c>
      <c r="D279" s="159">
        <v>761.47</v>
      </c>
      <c r="E279" s="160">
        <v>391.83</v>
      </c>
      <c r="F279" s="161"/>
      <c r="G279" s="162"/>
      <c r="H279" s="163"/>
      <c r="I279" s="162"/>
      <c r="T279" s="59"/>
      <c r="U279" s="146"/>
      <c r="V279" s="146"/>
      <c r="W279" s="146"/>
      <c r="AD279" s="146"/>
      <c r="AF279" s="237"/>
      <c r="AM279" s="147"/>
      <c r="AN279" s="147"/>
      <c r="AO279" s="147"/>
      <c r="AP279" s="4"/>
      <c r="AQ279" s="12"/>
      <c r="AT279" s="237"/>
    </row>
    <row r="280" spans="1:46" x14ac:dyDescent="0.15">
      <c r="A280" s="61">
        <v>39773</v>
      </c>
      <c r="B280" s="62">
        <v>2011</v>
      </c>
      <c r="C280" s="155" t="s">
        <v>257</v>
      </c>
      <c r="D280" s="159">
        <v>620.08000000000004</v>
      </c>
      <c r="E280" s="160">
        <v>105.79</v>
      </c>
      <c r="F280" s="164"/>
      <c r="G280" s="162"/>
      <c r="H280" s="163"/>
      <c r="I280" s="162"/>
      <c r="T280" s="59"/>
      <c r="U280" s="146"/>
      <c r="V280" s="146"/>
      <c r="W280" s="146"/>
      <c r="AD280" s="146"/>
      <c r="AF280" s="237"/>
      <c r="AM280" s="147"/>
      <c r="AN280" s="147"/>
      <c r="AO280" s="147"/>
      <c r="AP280" s="4"/>
      <c r="AQ280" s="12"/>
      <c r="AT280" s="237"/>
    </row>
    <row r="281" spans="1:46" x14ac:dyDescent="0.15">
      <c r="A281" s="61">
        <v>39773</v>
      </c>
      <c r="B281" s="62">
        <v>2011</v>
      </c>
      <c r="C281" s="155" t="s">
        <v>258</v>
      </c>
      <c r="D281" s="165">
        <v>545.86</v>
      </c>
      <c r="E281" s="160">
        <v>105.79</v>
      </c>
      <c r="F281" s="164"/>
      <c r="G281" s="162"/>
      <c r="H281" s="163"/>
      <c r="I281" s="162"/>
      <c r="T281" s="59"/>
      <c r="U281" s="146"/>
      <c r="V281" s="146"/>
      <c r="W281" s="146"/>
      <c r="AD281" s="146"/>
      <c r="AF281" s="237"/>
      <c r="AM281" s="147"/>
      <c r="AN281" s="147"/>
      <c r="AO281" s="147"/>
      <c r="AP281" s="4"/>
      <c r="AQ281" s="12"/>
      <c r="AT281" s="237"/>
    </row>
    <row r="282" spans="1:46" x14ac:dyDescent="0.15">
      <c r="A282" s="61">
        <v>39773</v>
      </c>
      <c r="B282" s="62">
        <v>2011</v>
      </c>
      <c r="C282" s="155" t="s">
        <v>259</v>
      </c>
      <c r="D282" s="165">
        <v>959.58</v>
      </c>
      <c r="E282" s="166">
        <v>105.79</v>
      </c>
      <c r="F282" s="161"/>
      <c r="G282" s="162"/>
      <c r="H282" s="163"/>
      <c r="I282" s="162"/>
      <c r="T282" s="59"/>
      <c r="U282" s="146"/>
      <c r="V282" s="146"/>
      <c r="W282" s="146"/>
      <c r="AD282" s="146"/>
      <c r="AF282" s="237"/>
      <c r="AM282" s="147"/>
      <c r="AN282" s="147"/>
      <c r="AO282" s="147"/>
      <c r="AP282" s="4"/>
      <c r="AQ282" s="12"/>
      <c r="AT282" s="237"/>
    </row>
    <row r="283" spans="1:46" x14ac:dyDescent="0.15">
      <c r="A283" s="61">
        <v>39773</v>
      </c>
      <c r="B283" s="62">
        <v>2011</v>
      </c>
      <c r="C283" s="155" t="s">
        <v>260</v>
      </c>
      <c r="D283" s="159">
        <v>800.35</v>
      </c>
      <c r="E283" s="166">
        <v>105.79</v>
      </c>
      <c r="F283" s="161"/>
      <c r="G283" s="162"/>
      <c r="H283" s="163"/>
      <c r="I283" s="162"/>
      <c r="T283" s="59"/>
      <c r="U283" s="146"/>
      <c r="V283" s="146"/>
      <c r="W283" s="146"/>
      <c r="AD283" s="146"/>
      <c r="AF283" s="237"/>
      <c r="AM283" s="147"/>
      <c r="AN283" s="147"/>
      <c r="AO283" s="147"/>
      <c r="AP283" s="4"/>
      <c r="AQ283" s="12"/>
      <c r="AT283" s="237"/>
    </row>
    <row r="284" spans="1:46" x14ac:dyDescent="0.15">
      <c r="A284" s="61">
        <v>39773</v>
      </c>
      <c r="B284" s="62">
        <v>2011</v>
      </c>
      <c r="C284" s="167" t="s">
        <v>261</v>
      </c>
      <c r="D284" s="168">
        <v>641.37</v>
      </c>
      <c r="E284" s="169">
        <v>102.67</v>
      </c>
      <c r="F284" s="161"/>
      <c r="G284" s="162"/>
      <c r="H284" s="163"/>
      <c r="I284" s="162"/>
      <c r="T284" s="59"/>
      <c r="U284" s="146"/>
      <c r="V284" s="146"/>
      <c r="W284" s="146"/>
      <c r="AD284" s="146"/>
      <c r="AF284" s="237"/>
      <c r="AM284" s="147"/>
      <c r="AN284" s="147"/>
      <c r="AO284" s="147"/>
      <c r="AP284" s="4"/>
      <c r="AQ284" s="12"/>
      <c r="AT284" s="237"/>
    </row>
    <row r="285" spans="1:46" x14ac:dyDescent="0.15">
      <c r="A285" s="61">
        <v>39773</v>
      </c>
      <c r="B285" s="62">
        <v>2011</v>
      </c>
      <c r="C285" s="167" t="s">
        <v>262</v>
      </c>
      <c r="D285" s="168">
        <v>608.83000000000004</v>
      </c>
      <c r="E285" s="169">
        <v>102.67</v>
      </c>
      <c r="F285" s="161"/>
      <c r="G285" s="162"/>
      <c r="H285" s="163"/>
      <c r="I285" s="162"/>
      <c r="T285" s="59"/>
      <c r="U285" s="146"/>
      <c r="V285" s="146"/>
      <c r="W285" s="146"/>
      <c r="AD285" s="146"/>
      <c r="AF285" s="237"/>
      <c r="AM285" s="147"/>
      <c r="AN285" s="147"/>
      <c r="AO285" s="147"/>
      <c r="AP285" s="4"/>
      <c r="AQ285" s="12"/>
      <c r="AT285" s="237"/>
    </row>
    <row r="286" spans="1:46" x14ac:dyDescent="0.15">
      <c r="A286" s="61">
        <v>39773</v>
      </c>
      <c r="B286" s="62">
        <v>2011</v>
      </c>
      <c r="C286" s="155" t="s">
        <v>263</v>
      </c>
      <c r="D286" s="170"/>
      <c r="E286" s="166">
        <f>AVERAGE(E277:E279)</f>
        <v>302.49</v>
      </c>
      <c r="F286" s="161"/>
      <c r="G286" s="150"/>
      <c r="H286" s="150"/>
      <c r="I286" s="150"/>
      <c r="T286" s="59"/>
      <c r="U286" s="146"/>
      <c r="V286" s="146"/>
      <c r="W286" s="146"/>
      <c r="AD286" s="146"/>
      <c r="AF286" s="237"/>
      <c r="AM286" s="147"/>
      <c r="AN286" s="147"/>
      <c r="AO286" s="147"/>
      <c r="AP286" s="4"/>
      <c r="AQ286" s="12"/>
      <c r="AT286" s="237"/>
    </row>
    <row r="287" spans="1:46" x14ac:dyDescent="0.15">
      <c r="A287" s="61"/>
      <c r="B287" s="62"/>
      <c r="C287" s="155"/>
      <c r="D287" s="159"/>
      <c r="E287" s="170"/>
      <c r="F287" s="161"/>
      <c r="G287" s="150"/>
      <c r="H287" s="150"/>
      <c r="I287" s="150"/>
      <c r="T287" s="59"/>
      <c r="U287" s="146"/>
      <c r="V287" s="146"/>
      <c r="W287" s="146"/>
      <c r="AD287" s="146"/>
      <c r="AF287" s="237"/>
      <c r="AM287" s="147"/>
      <c r="AN287" s="147"/>
      <c r="AO287" s="147"/>
      <c r="AP287" s="4"/>
      <c r="AQ287" s="12"/>
      <c r="AT287" s="237"/>
    </row>
    <row r="288" spans="1:46" x14ac:dyDescent="0.15">
      <c r="A288" s="61"/>
      <c r="B288" s="62"/>
      <c r="C288" s="154" t="s">
        <v>264</v>
      </c>
      <c r="D288" s="149"/>
      <c r="E288" s="149"/>
      <c r="F288" s="150"/>
      <c r="G288" s="150"/>
      <c r="H288" s="150"/>
      <c r="I288" s="150"/>
      <c r="T288" s="59"/>
      <c r="U288" s="146"/>
      <c r="V288" s="146"/>
      <c r="W288" s="146"/>
      <c r="AD288" s="146"/>
      <c r="AF288" s="237"/>
      <c r="AM288" s="147"/>
      <c r="AN288" s="147"/>
      <c r="AO288" s="147"/>
      <c r="AP288" s="4"/>
      <c r="AQ288" s="12"/>
      <c r="AT288" s="237"/>
    </row>
    <row r="289" spans="1:46" x14ac:dyDescent="0.15">
      <c r="A289" s="61">
        <v>39773</v>
      </c>
      <c r="B289" s="62">
        <v>2011</v>
      </c>
      <c r="C289" s="171" t="s">
        <v>265</v>
      </c>
      <c r="D289" s="172" t="s">
        <v>266</v>
      </c>
      <c r="E289" s="73"/>
      <c r="F289" s="73"/>
      <c r="G289" s="74"/>
      <c r="H289" s="74"/>
      <c r="I289" s="74"/>
      <c r="T289" s="59"/>
      <c r="U289" s="146"/>
      <c r="V289" s="146"/>
      <c r="W289" s="146"/>
      <c r="AD289" s="146"/>
      <c r="AF289" s="237"/>
      <c r="AM289" s="147"/>
      <c r="AN289" s="147"/>
      <c r="AO289" s="147"/>
      <c r="AP289" s="4"/>
      <c r="AQ289" s="12"/>
      <c r="AT289" s="237"/>
    </row>
    <row r="290" spans="1:46" x14ac:dyDescent="0.15">
      <c r="A290" s="61">
        <v>39773</v>
      </c>
      <c r="B290" s="62">
        <v>2011</v>
      </c>
      <c r="C290" s="171" t="s">
        <v>267</v>
      </c>
      <c r="D290" s="173" t="s">
        <v>268</v>
      </c>
      <c r="E290" s="73"/>
      <c r="F290" s="73"/>
      <c r="G290" s="74"/>
      <c r="H290" s="74"/>
      <c r="I290" s="74"/>
      <c r="T290" s="59"/>
      <c r="U290" s="146"/>
      <c r="V290" s="146"/>
      <c r="W290" s="146"/>
      <c r="AD290" s="146"/>
      <c r="AF290" s="237"/>
      <c r="AM290" s="147"/>
      <c r="AN290" s="147"/>
      <c r="AO290" s="147"/>
      <c r="AP290" s="4"/>
      <c r="AQ290" s="12"/>
      <c r="AT290" s="237"/>
    </row>
    <row r="291" spans="1:46" x14ac:dyDescent="0.15">
      <c r="A291" s="61">
        <v>39773</v>
      </c>
      <c r="B291" s="62">
        <v>2011</v>
      </c>
      <c r="C291" s="171" t="s">
        <v>269</v>
      </c>
      <c r="D291" s="174" t="s">
        <v>270</v>
      </c>
      <c r="E291" s="73"/>
      <c r="F291" s="73"/>
      <c r="G291" s="74"/>
      <c r="H291" s="74"/>
      <c r="I291" s="74"/>
      <c r="T291" s="59"/>
      <c r="U291" s="146"/>
      <c r="V291" s="146"/>
      <c r="W291" s="146"/>
      <c r="AD291" s="146"/>
      <c r="AF291" s="237"/>
      <c r="AM291" s="147"/>
      <c r="AN291" s="147"/>
      <c r="AO291" s="147"/>
      <c r="AP291" s="4"/>
      <c r="AQ291" s="12"/>
      <c r="AT291" s="237"/>
    </row>
    <row r="292" spans="1:46" x14ac:dyDescent="0.15">
      <c r="A292" s="61">
        <v>39773</v>
      </c>
      <c r="B292" s="62">
        <v>2011</v>
      </c>
      <c r="C292" s="171" t="s">
        <v>271</v>
      </c>
      <c r="D292" s="73" t="s">
        <v>272</v>
      </c>
      <c r="E292" s="73"/>
      <c r="F292" s="73"/>
      <c r="G292" s="74"/>
      <c r="H292" s="74"/>
      <c r="I292" s="74"/>
      <c r="T292" s="59"/>
      <c r="U292" s="146"/>
      <c r="V292" s="146"/>
      <c r="W292" s="146"/>
      <c r="AD292" s="146"/>
      <c r="AF292" s="237"/>
      <c r="AM292" s="147"/>
      <c r="AN292" s="147"/>
      <c r="AO292" s="147"/>
      <c r="AP292" s="4"/>
      <c r="AQ292" s="12"/>
      <c r="AT292" s="237"/>
    </row>
    <row r="293" spans="1:46" x14ac:dyDescent="0.15">
      <c r="A293" s="61">
        <v>39773</v>
      </c>
      <c r="B293" s="62">
        <v>2011</v>
      </c>
      <c r="C293" s="171" t="s">
        <v>273</v>
      </c>
      <c r="D293" s="175" t="s">
        <v>274</v>
      </c>
      <c r="E293" s="73"/>
      <c r="F293" s="73"/>
      <c r="G293" s="74"/>
      <c r="H293" s="74"/>
      <c r="I293" s="74"/>
      <c r="T293" s="59"/>
      <c r="U293" s="146"/>
      <c r="V293" s="146"/>
      <c r="W293" s="146"/>
      <c r="AD293" s="146"/>
      <c r="AF293" s="237"/>
      <c r="AM293" s="147"/>
      <c r="AN293" s="147"/>
      <c r="AO293" s="147"/>
      <c r="AP293" s="4"/>
      <c r="AQ293" s="12"/>
      <c r="AT293" s="237"/>
    </row>
    <row r="294" spans="1:46" x14ac:dyDescent="0.15">
      <c r="A294" s="61">
        <v>39773</v>
      </c>
      <c r="B294" s="62">
        <v>2011</v>
      </c>
      <c r="C294" s="171" t="s">
        <v>275</v>
      </c>
      <c r="D294" s="74" t="s">
        <v>276</v>
      </c>
      <c r="E294" s="73"/>
      <c r="F294" s="73"/>
      <c r="G294" s="74"/>
      <c r="H294" s="74"/>
      <c r="I294" s="74"/>
      <c r="T294" s="59"/>
      <c r="U294" s="146"/>
      <c r="V294" s="146"/>
      <c r="W294" s="146"/>
      <c r="AD294" s="146"/>
      <c r="AF294" s="237"/>
      <c r="AM294" s="147"/>
      <c r="AN294" s="147"/>
      <c r="AO294" s="147"/>
      <c r="AP294" s="4"/>
      <c r="AQ294" s="12"/>
      <c r="AT294" s="237"/>
    </row>
    <row r="295" spans="1:46" x14ac:dyDescent="0.15">
      <c r="A295" s="61">
        <v>39773</v>
      </c>
      <c r="B295" s="62">
        <v>2011</v>
      </c>
      <c r="C295" s="171" t="s">
        <v>277</v>
      </c>
      <c r="D295" s="176" t="s">
        <v>278</v>
      </c>
      <c r="E295" s="73"/>
      <c r="F295" s="73"/>
      <c r="G295" s="74"/>
      <c r="H295" s="74"/>
      <c r="I295" s="74"/>
      <c r="T295" s="59"/>
      <c r="U295" s="146"/>
      <c r="V295" s="146"/>
      <c r="W295" s="146"/>
      <c r="AD295" s="146"/>
      <c r="AF295" s="237"/>
      <c r="AM295" s="147"/>
      <c r="AN295" s="147"/>
      <c r="AO295" s="147"/>
      <c r="AP295" s="4"/>
      <c r="AQ295" s="12"/>
      <c r="AT295" s="237"/>
    </row>
    <row r="296" spans="1:46" x14ac:dyDescent="0.15">
      <c r="A296" s="61">
        <v>39773</v>
      </c>
      <c r="B296" s="62">
        <v>2011</v>
      </c>
      <c r="C296" s="171" t="s">
        <v>216</v>
      </c>
      <c r="D296" s="177" t="s">
        <v>279</v>
      </c>
      <c r="E296" s="73"/>
      <c r="F296" s="73"/>
      <c r="G296" s="74"/>
      <c r="H296" s="74"/>
      <c r="I296" s="74"/>
      <c r="T296" s="59"/>
      <c r="U296" s="146"/>
      <c r="V296" s="146"/>
      <c r="W296" s="146"/>
      <c r="AD296" s="146"/>
      <c r="AF296" s="237"/>
      <c r="AM296" s="147"/>
      <c r="AN296" s="147"/>
      <c r="AO296" s="147"/>
      <c r="AP296" s="4"/>
      <c r="AQ296" s="12"/>
      <c r="AT296" s="237"/>
    </row>
    <row r="297" spans="1:46" x14ac:dyDescent="0.15">
      <c r="A297" s="61">
        <v>39773</v>
      </c>
      <c r="B297" s="62">
        <v>2011</v>
      </c>
      <c r="C297" s="171" t="s">
        <v>218</v>
      </c>
      <c r="D297" s="74" t="s">
        <v>280</v>
      </c>
      <c r="E297" s="73"/>
      <c r="F297" s="73"/>
      <c r="G297" s="74"/>
      <c r="H297" s="74"/>
      <c r="I297" s="74"/>
      <c r="T297" s="59"/>
      <c r="U297" s="146"/>
      <c r="V297" s="146"/>
      <c r="W297" s="146"/>
      <c r="AD297" s="146"/>
      <c r="AF297" s="237"/>
      <c r="AM297" s="147"/>
      <c r="AN297" s="147"/>
      <c r="AO297" s="147"/>
      <c r="AP297" s="4"/>
      <c r="AQ297" s="12"/>
      <c r="AT297" s="237"/>
    </row>
    <row r="298" spans="1:46" x14ac:dyDescent="0.15">
      <c r="A298" s="61">
        <v>39773</v>
      </c>
      <c r="B298" s="62">
        <v>2011</v>
      </c>
      <c r="C298" s="171" t="s">
        <v>281</v>
      </c>
      <c r="D298" s="74" t="s">
        <v>282</v>
      </c>
      <c r="E298" s="73"/>
      <c r="F298" s="73"/>
      <c r="G298" s="74"/>
      <c r="H298" s="74"/>
      <c r="I298" s="74"/>
      <c r="T298" s="59"/>
      <c r="U298" s="146"/>
      <c r="V298" s="146"/>
      <c r="W298" s="146"/>
      <c r="AD298" s="146"/>
      <c r="AF298" s="237"/>
      <c r="AM298" s="147"/>
      <c r="AN298" s="147"/>
      <c r="AO298" s="147"/>
      <c r="AP298" s="4"/>
      <c r="AQ298" s="12"/>
      <c r="AT298" s="237"/>
    </row>
    <row r="299" spans="1:46" x14ac:dyDescent="0.15">
      <c r="A299" s="61"/>
      <c r="B299" s="62"/>
      <c r="C299" s="171"/>
      <c r="D299" s="74"/>
      <c r="E299" s="73"/>
      <c r="F299" s="73"/>
      <c r="G299" s="74"/>
      <c r="H299" s="74"/>
      <c r="I299" s="74"/>
      <c r="T299" s="59"/>
      <c r="U299" s="146"/>
      <c r="V299" s="146"/>
      <c r="W299" s="146"/>
      <c r="AD299" s="146"/>
      <c r="AF299" s="237"/>
      <c r="AM299" s="147"/>
      <c r="AN299" s="147"/>
      <c r="AO299" s="147"/>
      <c r="AP299" s="4"/>
      <c r="AQ299" s="12"/>
      <c r="AT299" s="237"/>
    </row>
    <row r="300" spans="1:46" x14ac:dyDescent="0.15">
      <c r="A300" s="61"/>
      <c r="B300" s="62"/>
      <c r="C300" s="178" t="s">
        <v>213</v>
      </c>
      <c r="D300" s="179"/>
      <c r="E300" s="180"/>
      <c r="F300" s="180"/>
      <c r="G300" s="179"/>
      <c r="H300" s="179"/>
      <c r="I300" s="179"/>
      <c r="T300" s="59"/>
      <c r="U300" s="146"/>
      <c r="V300" s="146"/>
      <c r="W300" s="146"/>
      <c r="AD300" s="146"/>
      <c r="AF300" s="237"/>
      <c r="AM300" s="147"/>
      <c r="AN300" s="147"/>
      <c r="AO300" s="147"/>
      <c r="AP300" s="4"/>
      <c r="AQ300" s="12"/>
      <c r="AT300" s="237"/>
    </row>
    <row r="301" spans="1:46" x14ac:dyDescent="0.15">
      <c r="A301" s="61">
        <v>39773</v>
      </c>
      <c r="B301" s="62">
        <v>2011</v>
      </c>
      <c r="C301" s="181" t="s">
        <v>214</v>
      </c>
      <c r="D301" s="182" t="s">
        <v>283</v>
      </c>
      <c r="E301" s="183"/>
      <c r="F301" s="180"/>
      <c r="G301" s="179"/>
      <c r="H301" s="179"/>
      <c r="I301" s="179"/>
      <c r="T301" s="59"/>
      <c r="U301" s="146"/>
      <c r="V301" s="146"/>
      <c r="W301" s="146"/>
      <c r="AD301" s="146"/>
      <c r="AF301" s="237"/>
      <c r="AM301" s="147"/>
      <c r="AN301" s="147"/>
      <c r="AO301" s="147"/>
      <c r="AP301" s="4"/>
      <c r="AQ301" s="12"/>
      <c r="AT301" s="237"/>
    </row>
    <row r="302" spans="1:46" x14ac:dyDescent="0.15">
      <c r="A302" s="61">
        <v>39773</v>
      </c>
      <c r="B302" s="62">
        <v>2011</v>
      </c>
      <c r="C302" s="181" t="s">
        <v>216</v>
      </c>
      <c r="D302" s="184" t="s">
        <v>284</v>
      </c>
      <c r="E302" s="183"/>
      <c r="F302" s="180"/>
      <c r="G302" s="179"/>
      <c r="H302" s="179"/>
      <c r="I302" s="179"/>
      <c r="T302" s="59"/>
      <c r="U302" s="146"/>
      <c r="V302" s="146"/>
      <c r="W302" s="146"/>
      <c r="AD302" s="146"/>
      <c r="AF302" s="237"/>
      <c r="AM302" s="147"/>
      <c r="AN302" s="147"/>
      <c r="AO302" s="147"/>
      <c r="AP302" s="4"/>
      <c r="AQ302" s="12"/>
      <c r="AT302" s="237"/>
    </row>
    <row r="303" spans="1:46" x14ac:dyDescent="0.15">
      <c r="A303" s="61">
        <v>39773</v>
      </c>
      <c r="B303" s="62">
        <v>2011</v>
      </c>
      <c r="C303" s="181" t="s">
        <v>218</v>
      </c>
      <c r="D303" s="185" t="s">
        <v>285</v>
      </c>
      <c r="E303" s="183"/>
      <c r="F303" s="180"/>
      <c r="G303" s="179"/>
      <c r="H303" s="179"/>
      <c r="I303" s="179"/>
      <c r="T303" s="59"/>
      <c r="U303" s="146"/>
      <c r="V303" s="146"/>
      <c r="W303" s="146"/>
      <c r="AD303" s="146"/>
      <c r="AF303" s="237"/>
      <c r="AM303" s="147"/>
      <c r="AN303" s="147"/>
      <c r="AO303" s="147"/>
      <c r="AP303" s="4"/>
      <c r="AQ303" s="12"/>
      <c r="AT303" s="237"/>
    </row>
    <row r="304" spans="1:46" x14ac:dyDescent="0.15">
      <c r="A304" s="61"/>
      <c r="B304" s="62"/>
      <c r="C304" s="186"/>
      <c r="D304" s="179"/>
      <c r="E304" s="180"/>
      <c r="F304" s="180"/>
      <c r="G304" s="179"/>
      <c r="H304" s="179"/>
      <c r="I304" s="179"/>
      <c r="T304" s="59"/>
      <c r="U304" s="146"/>
      <c r="V304" s="146"/>
      <c r="W304" s="146"/>
      <c r="AD304" s="146"/>
      <c r="AF304" s="237"/>
      <c r="AM304" s="147"/>
      <c r="AN304" s="147"/>
      <c r="AO304" s="147"/>
      <c r="AP304" s="4"/>
      <c r="AQ304" s="12"/>
      <c r="AT304" s="237"/>
    </row>
    <row r="305" spans="1:46" x14ac:dyDescent="0.15">
      <c r="A305" s="72" t="s">
        <v>286</v>
      </c>
      <c r="B305" s="73"/>
      <c r="C305" s="73"/>
      <c r="D305" s="73"/>
      <c r="E305" s="73"/>
      <c r="F305" s="73"/>
      <c r="G305" s="74"/>
      <c r="H305" s="74"/>
      <c r="I305" s="74"/>
      <c r="T305" s="59"/>
      <c r="U305" s="146"/>
      <c r="V305" s="146"/>
      <c r="W305" s="146"/>
      <c r="AD305" s="146"/>
      <c r="AF305" s="237"/>
      <c r="AM305" s="147"/>
      <c r="AN305" s="147"/>
      <c r="AO305" s="147"/>
      <c r="AP305" s="4"/>
      <c r="AQ305" s="12"/>
      <c r="AT305" s="237"/>
    </row>
    <row r="306" spans="1:46" x14ac:dyDescent="0.15">
      <c r="A306" s="75" t="s">
        <v>221</v>
      </c>
      <c r="B306" s="73"/>
      <c r="C306" s="73"/>
      <c r="D306" s="73"/>
      <c r="E306" s="73"/>
      <c r="F306" s="73"/>
      <c r="G306" s="74"/>
      <c r="H306" s="74"/>
      <c r="I306" s="74"/>
      <c r="T306" s="59"/>
      <c r="U306" s="146"/>
      <c r="V306" s="146"/>
      <c r="W306" s="146"/>
      <c r="AD306" s="146"/>
      <c r="AF306" s="237"/>
      <c r="AM306" s="147"/>
      <c r="AN306" s="147"/>
      <c r="AO306" s="147"/>
      <c r="AP306" s="4"/>
      <c r="AQ306" s="12"/>
      <c r="AT306" s="237"/>
    </row>
    <row r="307" spans="1:46" x14ac:dyDescent="0.15">
      <c r="A307" s="72" t="s">
        <v>79</v>
      </c>
      <c r="B307" s="73"/>
      <c r="C307" s="73"/>
      <c r="D307" s="73"/>
      <c r="E307" s="73"/>
      <c r="F307" s="73"/>
      <c r="G307" s="74"/>
      <c r="H307" s="74"/>
      <c r="I307" s="74"/>
      <c r="T307" s="59"/>
      <c r="U307" s="146"/>
      <c r="V307" s="146"/>
      <c r="W307" s="146"/>
      <c r="AD307" s="146"/>
      <c r="AF307" s="237"/>
      <c r="AM307" s="147"/>
      <c r="AN307" s="147"/>
      <c r="AO307" s="147"/>
      <c r="AP307" s="4"/>
      <c r="AQ307" s="12"/>
      <c r="AT307" s="237"/>
    </row>
    <row r="308" spans="1:46" x14ac:dyDescent="0.15">
      <c r="A308" s="72"/>
      <c r="B308" s="73"/>
      <c r="C308" s="73"/>
      <c r="D308" s="73"/>
      <c r="E308" s="73"/>
      <c r="F308" s="73"/>
      <c r="G308" s="74"/>
      <c r="H308" s="74"/>
      <c r="I308" s="74"/>
      <c r="T308" s="59"/>
      <c r="U308" s="146"/>
      <c r="V308" s="146"/>
      <c r="W308" s="146"/>
      <c r="AD308" s="146"/>
      <c r="AF308" s="237"/>
      <c r="AM308" s="147"/>
      <c r="AN308" s="147"/>
      <c r="AO308" s="147"/>
      <c r="AP308" s="4"/>
      <c r="AQ308" s="12"/>
      <c r="AT308" s="237"/>
    </row>
    <row r="309" spans="1:46" x14ac:dyDescent="0.15">
      <c r="A309" s="187" t="s">
        <v>287</v>
      </c>
      <c r="B309" s="149"/>
      <c r="C309" s="149"/>
      <c r="D309" s="149"/>
      <c r="E309" s="188" t="s">
        <v>288</v>
      </c>
      <c r="F309" s="149"/>
      <c r="G309" s="150"/>
      <c r="H309" s="150"/>
      <c r="I309" s="150"/>
      <c r="T309" s="59"/>
      <c r="U309" s="146"/>
      <c r="V309" s="146"/>
      <c r="W309" s="146"/>
      <c r="AD309" s="146"/>
      <c r="AF309" s="237"/>
      <c r="AM309" s="147"/>
      <c r="AN309" s="147"/>
      <c r="AO309" s="147"/>
      <c r="AP309" s="4"/>
      <c r="AQ309" s="12"/>
      <c r="AT309" s="237"/>
    </row>
    <row r="310" spans="1:46" x14ac:dyDescent="0.15">
      <c r="A310" s="61">
        <v>39773</v>
      </c>
      <c r="B310" s="62">
        <v>2011</v>
      </c>
      <c r="C310" s="189" t="s">
        <v>289</v>
      </c>
      <c r="D310" s="73"/>
      <c r="E310" s="190">
        <v>242.73</v>
      </c>
      <c r="F310" s="191" t="s">
        <v>290</v>
      </c>
      <c r="G310" s="150"/>
      <c r="H310" s="150"/>
      <c r="I310" s="150"/>
      <c r="T310" s="59"/>
      <c r="U310" s="146"/>
      <c r="V310" s="146"/>
      <c r="W310" s="146"/>
      <c r="AD310" s="146"/>
      <c r="AF310" s="237"/>
      <c r="AM310" s="147"/>
      <c r="AN310" s="147"/>
      <c r="AO310" s="147"/>
      <c r="AP310" s="4"/>
      <c r="AQ310" s="12"/>
      <c r="AT310" s="237"/>
    </row>
    <row r="311" spans="1:46" ht="52" x14ac:dyDescent="0.15">
      <c r="A311" s="61">
        <v>39773</v>
      </c>
      <c r="B311" s="62">
        <v>2011</v>
      </c>
      <c r="C311" s="192" t="s">
        <v>291</v>
      </c>
      <c r="D311" s="73"/>
      <c r="E311" s="193">
        <f>E279-E283</f>
        <v>286.03999999999996</v>
      </c>
      <c r="F311" s="191" t="s">
        <v>290</v>
      </c>
      <c r="G311" s="150"/>
      <c r="H311" s="150"/>
      <c r="I311" s="150"/>
      <c r="T311" s="59"/>
      <c r="U311" s="146"/>
      <c r="V311" s="146"/>
      <c r="W311" s="146"/>
      <c r="AD311" s="146"/>
      <c r="AF311" s="237"/>
      <c r="AM311" s="147"/>
      <c r="AN311" s="147"/>
      <c r="AO311" s="147"/>
      <c r="AP311" s="4"/>
      <c r="AQ311" s="12"/>
      <c r="AT311" s="237"/>
    </row>
    <row r="312" spans="1:46" ht="52" x14ac:dyDescent="0.15">
      <c r="A312" s="61">
        <v>39773</v>
      </c>
      <c r="B312" s="62">
        <v>2011</v>
      </c>
      <c r="C312" s="192" t="s">
        <v>292</v>
      </c>
      <c r="D312" s="73"/>
      <c r="E312" s="194">
        <f>E286-E282</f>
        <v>196.7</v>
      </c>
      <c r="F312" s="191" t="s">
        <v>290</v>
      </c>
      <c r="G312" s="150"/>
      <c r="H312" s="150"/>
      <c r="I312" s="150"/>
      <c r="T312" s="59"/>
      <c r="U312" s="146"/>
      <c r="V312" s="146"/>
      <c r="W312" s="146"/>
      <c r="AD312" s="146"/>
      <c r="AF312" s="237"/>
      <c r="AM312" s="147"/>
      <c r="AN312" s="147"/>
      <c r="AO312" s="147"/>
      <c r="AP312" s="4"/>
      <c r="AQ312" s="12"/>
      <c r="AT312" s="237"/>
    </row>
    <row r="313" spans="1:46" x14ac:dyDescent="0.15">
      <c r="A313" s="61">
        <v>39773</v>
      </c>
      <c r="B313" s="62">
        <v>2011</v>
      </c>
      <c r="C313" s="195" t="s">
        <v>293</v>
      </c>
      <c r="D313" s="196"/>
      <c r="E313" s="191" t="s">
        <v>294</v>
      </c>
      <c r="F313" s="73"/>
      <c r="G313" s="150"/>
      <c r="H313" s="150"/>
      <c r="I313" s="150"/>
      <c r="T313" s="59"/>
      <c r="U313" s="146"/>
      <c r="V313" s="146"/>
      <c r="W313" s="146"/>
      <c r="AD313" s="146"/>
      <c r="AF313" s="237"/>
      <c r="AM313" s="147"/>
      <c r="AN313" s="147"/>
      <c r="AO313" s="147"/>
      <c r="AP313" s="4"/>
      <c r="AQ313" s="12"/>
      <c r="AT313" s="237"/>
    </row>
    <row r="314" spans="1:46" x14ac:dyDescent="0.15">
      <c r="A314" s="61">
        <v>39773</v>
      </c>
      <c r="B314" s="62">
        <v>2011</v>
      </c>
      <c r="C314" s="197" t="s">
        <v>295</v>
      </c>
      <c r="D314" s="73"/>
      <c r="E314" s="198" t="s">
        <v>296</v>
      </c>
      <c r="F314" s="191"/>
      <c r="G314" s="150"/>
      <c r="H314" s="150"/>
      <c r="I314" s="150"/>
      <c r="T314" s="59"/>
      <c r="U314" s="146"/>
      <c r="V314" s="146"/>
      <c r="W314" s="146"/>
      <c r="AD314" s="146"/>
      <c r="AF314" s="237"/>
      <c r="AM314" s="147"/>
      <c r="AN314" s="147"/>
      <c r="AO314" s="147"/>
      <c r="AP314" s="4"/>
      <c r="AQ314" s="12"/>
      <c r="AT314" s="237"/>
    </row>
    <row r="315" spans="1:46" x14ac:dyDescent="0.15">
      <c r="A315" s="61"/>
      <c r="B315" s="62"/>
      <c r="C315" s="197"/>
      <c r="D315" s="73"/>
      <c r="E315" s="198"/>
      <c r="F315" s="191"/>
      <c r="G315" s="150"/>
      <c r="H315" s="150"/>
      <c r="I315" s="150"/>
      <c r="T315" s="59"/>
      <c r="U315" s="146"/>
      <c r="V315" s="146"/>
      <c r="W315" s="146"/>
      <c r="AD315" s="146"/>
      <c r="AF315" s="237"/>
      <c r="AM315" s="147"/>
      <c r="AN315" s="147"/>
      <c r="AO315" s="147"/>
      <c r="AP315" s="4"/>
      <c r="AQ315" s="12"/>
      <c r="AT315" s="237"/>
    </row>
    <row r="316" spans="1:46" x14ac:dyDescent="0.15">
      <c r="A316" s="199" t="s">
        <v>297</v>
      </c>
      <c r="B316" s="200"/>
      <c r="C316" s="149"/>
      <c r="D316" s="201"/>
      <c r="E316" s="149"/>
      <c r="F316" s="149"/>
      <c r="G316" s="150"/>
      <c r="H316" s="150"/>
      <c r="I316" s="150"/>
      <c r="T316" s="59"/>
      <c r="U316" s="146"/>
      <c r="V316" s="146"/>
      <c r="W316" s="146"/>
      <c r="AD316" s="146"/>
      <c r="AF316" s="237"/>
      <c r="AM316" s="147"/>
      <c r="AN316" s="147"/>
      <c r="AO316" s="147"/>
      <c r="AP316" s="4"/>
      <c r="AQ316" s="12"/>
      <c r="AT316" s="237"/>
    </row>
    <row r="317" spans="1:46" ht="26" x14ac:dyDescent="0.15">
      <c r="A317" s="155" t="s">
        <v>249</v>
      </c>
      <c r="B317" s="62" t="s">
        <v>298</v>
      </c>
      <c r="C317" s="156" t="s">
        <v>251</v>
      </c>
      <c r="D317" s="200" t="s">
        <v>299</v>
      </c>
      <c r="E317" s="202" t="s">
        <v>300</v>
      </c>
      <c r="F317" s="24" t="s">
        <v>301</v>
      </c>
      <c r="G317" s="203" t="s">
        <v>302</v>
      </c>
      <c r="H317" s="150"/>
      <c r="I317" s="150"/>
      <c r="T317" s="59"/>
      <c r="U317" s="146"/>
      <c r="V317" s="146"/>
      <c r="W317" s="146"/>
      <c r="AD317" s="146"/>
      <c r="AF317" s="237"/>
      <c r="AM317" s="147"/>
      <c r="AN317" s="147"/>
      <c r="AO317" s="147"/>
      <c r="AP317" s="4"/>
      <c r="AQ317" s="12"/>
      <c r="AT317" s="237"/>
    </row>
    <row r="318" spans="1:46" x14ac:dyDescent="0.15">
      <c r="A318" s="61">
        <v>39836</v>
      </c>
      <c r="B318" s="204" t="s">
        <v>303</v>
      </c>
      <c r="C318" s="174" t="s">
        <v>304</v>
      </c>
      <c r="D318" s="205">
        <v>1.109</v>
      </c>
      <c r="E318" s="206">
        <v>0.2</v>
      </c>
      <c r="F318" s="207">
        <f t="shared" ref="F318:F326" si="68">D277</f>
        <v>1240.27</v>
      </c>
      <c r="G318" s="208">
        <f>+F318*D318</f>
        <v>1375.4594299999999</v>
      </c>
      <c r="H318" s="150" t="s">
        <v>305</v>
      </c>
      <c r="I318" s="150"/>
      <c r="T318" s="59"/>
      <c r="U318" s="146"/>
      <c r="V318" s="146"/>
      <c r="W318" s="146"/>
      <c r="AD318" s="146"/>
      <c r="AF318" s="237"/>
      <c r="AM318" s="147"/>
      <c r="AN318" s="147"/>
      <c r="AO318" s="147"/>
      <c r="AP318" s="4"/>
      <c r="AQ318" s="12"/>
      <c r="AT318" s="237"/>
    </row>
    <row r="319" spans="1:46" x14ac:dyDescent="0.15">
      <c r="A319" s="61">
        <v>39836</v>
      </c>
      <c r="B319" s="204" t="s">
        <v>303</v>
      </c>
      <c r="C319" s="174" t="s">
        <v>306</v>
      </c>
      <c r="D319" s="209">
        <v>1.034</v>
      </c>
      <c r="E319" s="206">
        <v>0.2</v>
      </c>
      <c r="F319" s="207">
        <f t="shared" si="68"/>
        <v>521</v>
      </c>
      <c r="G319" s="208">
        <f t="shared" ref="G319:G326" si="69">+F319*D319</f>
        <v>538.71400000000006</v>
      </c>
      <c r="H319" s="150"/>
      <c r="I319" s="150"/>
      <c r="T319" s="59"/>
      <c r="U319" s="146"/>
      <c r="V319" s="146"/>
      <c r="W319" s="146"/>
      <c r="AD319" s="146"/>
      <c r="AF319" s="237"/>
      <c r="AM319" s="147"/>
      <c r="AN319" s="147"/>
      <c r="AO319" s="147"/>
      <c r="AP319" s="4"/>
      <c r="AQ319" s="12"/>
      <c r="AT319" s="237"/>
    </row>
    <row r="320" spans="1:46" x14ac:dyDescent="0.15">
      <c r="A320" s="61">
        <v>39836</v>
      </c>
      <c r="B320" s="204" t="s">
        <v>303</v>
      </c>
      <c r="C320" s="174" t="s">
        <v>307</v>
      </c>
      <c r="D320" s="209">
        <v>1.103</v>
      </c>
      <c r="E320" s="206">
        <v>0.2</v>
      </c>
      <c r="F320" s="207">
        <f t="shared" si="68"/>
        <v>761.47</v>
      </c>
      <c r="G320" s="208">
        <f t="shared" si="69"/>
        <v>839.90141000000006</v>
      </c>
      <c r="H320" s="150"/>
      <c r="I320" s="150"/>
      <c r="T320" s="59"/>
      <c r="U320" s="146"/>
      <c r="V320" s="146"/>
      <c r="W320" s="146"/>
      <c r="AD320" s="146"/>
      <c r="AF320" s="237"/>
      <c r="AM320" s="147"/>
      <c r="AN320" s="147"/>
      <c r="AO320" s="147"/>
      <c r="AP320" s="4"/>
      <c r="AQ320" s="12"/>
      <c r="AT320" s="237"/>
    </row>
    <row r="321" spans="1:46" x14ac:dyDescent="0.15">
      <c r="A321" s="61">
        <v>39836</v>
      </c>
      <c r="B321" s="204" t="s">
        <v>303</v>
      </c>
      <c r="C321" s="210" t="s">
        <v>257</v>
      </c>
      <c r="D321" s="209">
        <v>0.92</v>
      </c>
      <c r="E321" s="206">
        <v>0.18</v>
      </c>
      <c r="F321" s="207">
        <f t="shared" si="68"/>
        <v>620.08000000000004</v>
      </c>
      <c r="G321" s="208">
        <f>+F321*D321</f>
        <v>570.47360000000003</v>
      </c>
      <c r="H321" s="150"/>
      <c r="I321" s="150"/>
      <c r="T321" s="59"/>
      <c r="U321" s="146"/>
      <c r="V321" s="146"/>
      <c r="W321" s="146"/>
      <c r="AD321" s="146"/>
      <c r="AF321" s="237"/>
      <c r="AM321" s="147"/>
      <c r="AN321" s="147"/>
      <c r="AO321" s="147"/>
      <c r="AP321" s="4"/>
      <c r="AQ321" s="12"/>
      <c r="AT321" s="237"/>
    </row>
    <row r="322" spans="1:46" x14ac:dyDescent="0.15">
      <c r="A322" s="61">
        <v>39836</v>
      </c>
      <c r="B322" s="204" t="s">
        <v>303</v>
      </c>
      <c r="C322" s="210" t="s">
        <v>258</v>
      </c>
      <c r="D322" s="209">
        <v>0.878</v>
      </c>
      <c r="E322" s="206">
        <v>0.18</v>
      </c>
      <c r="F322" s="207">
        <f t="shared" si="68"/>
        <v>545.86</v>
      </c>
      <c r="G322" s="208">
        <f>+F322*D322</f>
        <v>479.26508000000001</v>
      </c>
      <c r="H322" s="150"/>
      <c r="I322" s="150"/>
      <c r="T322" s="59"/>
      <c r="U322" s="146"/>
      <c r="V322" s="146"/>
      <c r="W322" s="146"/>
      <c r="AD322" s="146"/>
      <c r="AF322" s="237"/>
      <c r="AM322" s="147"/>
      <c r="AN322" s="147"/>
      <c r="AO322" s="147"/>
      <c r="AP322" s="4"/>
      <c r="AQ322" s="12"/>
      <c r="AT322" s="237"/>
    </row>
    <row r="323" spans="1:46" x14ac:dyDescent="0.15">
      <c r="A323" s="61">
        <v>39836</v>
      </c>
      <c r="B323" s="204" t="s">
        <v>303</v>
      </c>
      <c r="C323" s="174" t="s">
        <v>259</v>
      </c>
      <c r="D323" s="209">
        <v>1.004</v>
      </c>
      <c r="E323" s="206">
        <v>0.18</v>
      </c>
      <c r="F323" s="207">
        <f t="shared" si="68"/>
        <v>959.58</v>
      </c>
      <c r="G323" s="208">
        <f t="shared" si="69"/>
        <v>963.41831999999999</v>
      </c>
      <c r="H323" s="150"/>
      <c r="I323" s="150"/>
      <c r="T323" s="59"/>
      <c r="U323" s="146"/>
      <c r="V323" s="146"/>
      <c r="W323" s="146"/>
      <c r="AD323" s="146"/>
      <c r="AF323" s="237"/>
      <c r="AM323" s="147"/>
      <c r="AN323" s="147"/>
      <c r="AO323" s="147"/>
      <c r="AP323" s="4"/>
      <c r="AQ323" s="12"/>
      <c r="AT323" s="237"/>
    </row>
    <row r="324" spans="1:46" x14ac:dyDescent="0.15">
      <c r="A324" s="61">
        <v>39836</v>
      </c>
      <c r="B324" s="204" t="s">
        <v>303</v>
      </c>
      <c r="C324" s="210" t="s">
        <v>308</v>
      </c>
      <c r="D324" s="209">
        <v>0.99</v>
      </c>
      <c r="E324" s="206">
        <v>0.18</v>
      </c>
      <c r="F324" s="207">
        <f t="shared" si="68"/>
        <v>800.35</v>
      </c>
      <c r="G324" s="208">
        <f t="shared" si="69"/>
        <v>792.34649999999999</v>
      </c>
      <c r="H324" s="150"/>
      <c r="I324" s="150"/>
      <c r="T324" s="59"/>
      <c r="U324" s="146"/>
      <c r="V324" s="146"/>
      <c r="W324" s="146"/>
      <c r="AD324" s="146"/>
      <c r="AF324" s="237"/>
      <c r="AM324" s="147"/>
      <c r="AN324" s="147"/>
      <c r="AO324" s="147"/>
      <c r="AP324" s="4"/>
      <c r="AQ324" s="12"/>
      <c r="AT324" s="237"/>
    </row>
    <row r="325" spans="1:46" x14ac:dyDescent="0.15">
      <c r="A325" s="61">
        <v>39836</v>
      </c>
      <c r="B325" s="204" t="s">
        <v>303</v>
      </c>
      <c r="C325" s="167" t="s">
        <v>261</v>
      </c>
      <c r="D325" s="211">
        <v>0.85599999999999998</v>
      </c>
      <c r="E325" s="212">
        <v>0.18</v>
      </c>
      <c r="F325" s="213">
        <f t="shared" si="68"/>
        <v>641.37</v>
      </c>
      <c r="G325" s="214">
        <f t="shared" si="69"/>
        <v>549.01271999999994</v>
      </c>
      <c r="H325" s="150"/>
      <c r="I325" s="150"/>
      <c r="T325" s="59"/>
      <c r="U325" s="146"/>
      <c r="V325" s="146"/>
      <c r="W325" s="146"/>
      <c r="AD325" s="146"/>
      <c r="AF325" s="237"/>
      <c r="AM325" s="147"/>
      <c r="AN325" s="147"/>
      <c r="AO325" s="147"/>
      <c r="AP325" s="4"/>
      <c r="AQ325" s="12"/>
      <c r="AT325" s="237"/>
    </row>
    <row r="326" spans="1:46" x14ac:dyDescent="0.15">
      <c r="A326" s="61">
        <v>39836</v>
      </c>
      <c r="B326" s="204" t="s">
        <v>303</v>
      </c>
      <c r="C326" s="167" t="s">
        <v>262</v>
      </c>
      <c r="D326" s="215">
        <v>0.83499999999999996</v>
      </c>
      <c r="E326" s="212">
        <v>0.18</v>
      </c>
      <c r="F326" s="213">
        <f t="shared" si="68"/>
        <v>608.83000000000004</v>
      </c>
      <c r="G326" s="214">
        <f t="shared" si="69"/>
        <v>508.37305000000003</v>
      </c>
      <c r="H326" s="150"/>
      <c r="I326" s="150"/>
      <c r="T326" s="59"/>
      <c r="U326" s="146"/>
      <c r="V326" s="146"/>
      <c r="W326" s="146"/>
      <c r="AD326" s="146"/>
      <c r="AF326" s="237"/>
      <c r="AM326" s="147"/>
      <c r="AN326" s="147"/>
      <c r="AO326" s="147"/>
      <c r="AP326" s="4"/>
      <c r="AQ326" s="12"/>
      <c r="AT326" s="237"/>
    </row>
    <row r="327" spans="1:46" x14ac:dyDescent="0.15">
      <c r="A327" s="216"/>
      <c r="B327" s="203"/>
      <c r="C327" s="174"/>
      <c r="D327" s="217"/>
      <c r="E327" s="218"/>
      <c r="F327" s="150"/>
      <c r="G327" s="150"/>
      <c r="H327" s="150"/>
      <c r="I327" s="150"/>
      <c r="T327" s="59"/>
      <c r="U327" s="146"/>
      <c r="V327" s="146"/>
      <c r="W327" s="146"/>
      <c r="AD327" s="146"/>
      <c r="AF327" s="237"/>
      <c r="AM327" s="147"/>
      <c r="AN327" s="147"/>
      <c r="AO327" s="147"/>
      <c r="AP327" s="4"/>
      <c r="AQ327" s="12"/>
      <c r="AT327" s="237"/>
    </row>
    <row r="328" spans="1:46" x14ac:dyDescent="0.15">
      <c r="A328" s="216"/>
      <c r="B328" s="203"/>
      <c r="C328" s="174"/>
      <c r="D328" s="217"/>
      <c r="E328" s="218"/>
      <c r="F328" s="150"/>
      <c r="G328" s="150"/>
      <c r="H328" s="150"/>
      <c r="I328" s="150"/>
      <c r="T328" s="59"/>
      <c r="U328" s="146"/>
      <c r="V328" s="146"/>
      <c r="W328" s="146"/>
      <c r="AD328" s="146"/>
      <c r="AF328" s="237"/>
      <c r="AM328" s="147"/>
      <c r="AN328" s="147"/>
      <c r="AO328" s="147"/>
      <c r="AP328" s="4"/>
      <c r="AQ328" s="12"/>
      <c r="AT328" s="237"/>
    </row>
    <row r="329" spans="1:46" x14ac:dyDescent="0.15">
      <c r="A329" s="216"/>
      <c r="B329" s="203"/>
      <c r="C329" s="174"/>
      <c r="D329" s="217"/>
      <c r="E329" s="218"/>
      <c r="F329" s="150"/>
      <c r="G329" s="150"/>
      <c r="H329" s="150"/>
      <c r="I329" s="150"/>
      <c r="T329" s="59"/>
      <c r="U329" s="146"/>
      <c r="V329" s="146"/>
      <c r="W329" s="146"/>
      <c r="AD329" s="146"/>
      <c r="AF329" s="237"/>
      <c r="AM329" s="147"/>
      <c r="AN329" s="147"/>
      <c r="AO329" s="147"/>
      <c r="AP329" s="4"/>
      <c r="AQ329" s="12"/>
      <c r="AT329" s="237"/>
    </row>
    <row r="330" spans="1:46" x14ac:dyDescent="0.15">
      <c r="A330" s="216"/>
      <c r="B330" s="203"/>
      <c r="C330" s="174"/>
      <c r="D330" s="217"/>
      <c r="E330" s="218"/>
      <c r="F330" s="150"/>
      <c r="G330" s="150"/>
      <c r="H330" s="150"/>
      <c r="I330" s="150"/>
      <c r="T330" s="59"/>
      <c r="U330" s="146"/>
      <c r="V330" s="146"/>
      <c r="W330" s="146"/>
      <c r="AD330" s="146"/>
      <c r="AF330" s="237"/>
      <c r="AM330" s="147"/>
      <c r="AN330" s="147"/>
      <c r="AO330" s="147"/>
      <c r="AP330" s="4"/>
      <c r="AQ330" s="12"/>
      <c r="AT330" s="237"/>
    </row>
    <row r="331" spans="1:46" x14ac:dyDescent="0.15">
      <c r="A331" s="216"/>
      <c r="B331" s="203"/>
      <c r="C331" s="210"/>
      <c r="D331" s="217"/>
      <c r="E331" s="218"/>
      <c r="F331" s="150"/>
      <c r="G331" s="150"/>
      <c r="H331" s="150"/>
      <c r="I331" s="150"/>
      <c r="T331" s="59"/>
      <c r="U331" s="146"/>
      <c r="V331" s="146"/>
      <c r="W331" s="146"/>
      <c r="AD331" s="146"/>
      <c r="AF331" s="237"/>
      <c r="AM331" s="147"/>
      <c r="AN331" s="147"/>
      <c r="AO331" s="147"/>
      <c r="AP331" s="4"/>
      <c r="AQ331" s="12"/>
      <c r="AT331" s="237"/>
    </row>
    <row r="332" spans="1:46" x14ac:dyDescent="0.15">
      <c r="T332" s="59"/>
      <c r="U332" s="146"/>
      <c r="V332" s="146"/>
      <c r="W332" s="146"/>
      <c r="AD332" s="146"/>
      <c r="AF332" s="237"/>
      <c r="AM332" s="147"/>
      <c r="AN332" s="147"/>
      <c r="AO332" s="147"/>
      <c r="AP332" s="4"/>
      <c r="AQ332" s="12"/>
      <c r="AT332" s="237"/>
    </row>
    <row r="333" spans="1:46" x14ac:dyDescent="0.15">
      <c r="T333" s="59"/>
      <c r="U333" s="146"/>
      <c r="V333" s="146"/>
      <c r="W333" s="146"/>
      <c r="AD333" s="146"/>
      <c r="AF333" s="237"/>
      <c r="AM333" s="147"/>
      <c r="AN333" s="147"/>
      <c r="AO333" s="147"/>
      <c r="AP333" s="4"/>
      <c r="AQ333" s="12"/>
      <c r="AT333" s="237"/>
    </row>
    <row r="334" spans="1:46" x14ac:dyDescent="0.15">
      <c r="T334" s="59"/>
      <c r="U334" s="146"/>
      <c r="V334" s="146"/>
      <c r="W334" s="146"/>
      <c r="AD334" s="146"/>
      <c r="AF334" s="237"/>
      <c r="AM334" s="147"/>
      <c r="AN334" s="147"/>
      <c r="AO334" s="147"/>
      <c r="AP334" s="4"/>
      <c r="AQ334" s="12"/>
      <c r="AT334" s="237"/>
    </row>
    <row r="335" spans="1:46" x14ac:dyDescent="0.15">
      <c r="T335" s="59"/>
      <c r="U335" s="146"/>
      <c r="V335" s="146"/>
      <c r="W335" s="146"/>
      <c r="AD335" s="146"/>
      <c r="AF335" s="237"/>
      <c r="AM335" s="147"/>
      <c r="AN335" s="147"/>
      <c r="AO335" s="147"/>
      <c r="AP335" s="4"/>
      <c r="AQ335" s="12"/>
      <c r="AT335" s="237"/>
    </row>
    <row r="336" spans="1:46" x14ac:dyDescent="0.15">
      <c r="T336" s="59"/>
      <c r="U336" s="146"/>
      <c r="V336" s="146"/>
      <c r="W336" s="146"/>
      <c r="AD336" s="146"/>
      <c r="AF336" s="237"/>
      <c r="AM336" s="147"/>
      <c r="AN336" s="147"/>
      <c r="AO336" s="147"/>
      <c r="AP336" s="4"/>
      <c r="AQ336" s="12"/>
      <c r="AT336" s="237"/>
    </row>
    <row r="337" spans="20:48" x14ac:dyDescent="0.15">
      <c r="T337" s="59"/>
      <c r="U337" s="146"/>
      <c r="V337" s="146"/>
      <c r="W337" s="146"/>
      <c r="AD337" s="146"/>
      <c r="AF337" s="237"/>
      <c r="AM337" s="147"/>
      <c r="AN337" s="147"/>
      <c r="AO337" s="147"/>
      <c r="AP337" s="4"/>
      <c r="AQ337" s="12"/>
      <c r="AT337" s="237"/>
    </row>
    <row r="338" spans="20:48" x14ac:dyDescent="0.15">
      <c r="T338" s="59"/>
      <c r="U338" s="146"/>
      <c r="V338" s="146"/>
      <c r="W338" s="146"/>
      <c r="AD338" s="146"/>
      <c r="AF338" s="237"/>
      <c r="AM338" s="147"/>
      <c r="AN338" s="147"/>
      <c r="AO338" s="147"/>
      <c r="AP338" s="4"/>
      <c r="AQ338" s="12"/>
      <c r="AT338" s="237"/>
    </row>
    <row r="339" spans="20:48" x14ac:dyDescent="0.15">
      <c r="T339" s="59"/>
      <c r="U339" s="146"/>
      <c r="V339" s="146"/>
      <c r="W339" s="146"/>
      <c r="AD339" s="146"/>
      <c r="AF339" s="237"/>
      <c r="AM339" s="147"/>
      <c r="AN339" s="147"/>
      <c r="AO339" s="147"/>
      <c r="AP339" s="4"/>
      <c r="AQ339" s="12"/>
      <c r="AT339" s="237"/>
    </row>
    <row r="342" spans="20:48" x14ac:dyDescent="0.15">
      <c r="AA342" s="10"/>
      <c r="AB342" s="10"/>
      <c r="AC342" s="146"/>
      <c r="AD342" t="s">
        <v>103</v>
      </c>
      <c r="AE342">
        <f>+AD169/AE169+AG169</f>
        <v>3905.7574324324323</v>
      </c>
      <c r="AP342" s="31"/>
      <c r="AQ342" s="44"/>
      <c r="AT342" s="147">
        <f>+AT169/AD169</f>
        <v>684.52431126085025</v>
      </c>
      <c r="AU342" s="147">
        <f>+AU169/AD169</f>
        <v>28.001468166308573</v>
      </c>
      <c r="AV342" s="147"/>
    </row>
  </sheetData>
  <phoneticPr fontId="3" type="noConversion"/>
  <hyperlinks>
    <hyperlink ref="H274" r:id="rId1" display="ipetaisto@fs.fed.us"/>
  </hyperlinks>
  <pageMargins left="0.75" right="0.75" top="1" bottom="1" header="0.5" footer="0.5"/>
  <pageSetup scale="67" orientation="landscape" horizontalDpi="4294967292" verticalDpi="429496729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Added units</vt:lpstr>
      <vt:lpstr>Draft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Woodbury</dc:creator>
  <cp:lastModifiedBy>Microsoft Office User</cp:lastModifiedBy>
  <cp:lastPrinted>2016-06-25T21:13:34Z</cp:lastPrinted>
  <dcterms:created xsi:type="dcterms:W3CDTF">2012-05-19T00:41:16Z</dcterms:created>
  <dcterms:modified xsi:type="dcterms:W3CDTF">2016-06-26T19:28:04Z</dcterms:modified>
</cp:coreProperties>
</file>